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rd.8\Documents\Budgets2016\"/>
    </mc:Choice>
  </mc:AlternateContent>
  <bookViews>
    <workbookView xWindow="0" yWindow="0" windowWidth="25200" windowHeight="11985"/>
  </bookViews>
  <sheets>
    <sheet name="alfhay" sheetId="1" r:id="rId1"/>
    <sheet name="Machinery Costs" sheetId="2" r:id="rId2"/>
  </sheets>
  <definedNames>
    <definedName name="_xlnm.Print_Area" localSheetId="0">alfhay!$A$1:$P$140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4" i="1" l="1"/>
  <c r="N101" i="1"/>
  <c r="D8" i="2"/>
  <c r="C8" i="2"/>
  <c r="G8" i="2"/>
  <c r="L104" i="1"/>
  <c r="N102" i="1"/>
  <c r="I22" i="1"/>
  <c r="K22" i="1"/>
  <c r="I21" i="1"/>
  <c r="N21" i="1"/>
  <c r="L102" i="1"/>
  <c r="P30" i="1"/>
  <c r="O30" i="1"/>
  <c r="N30" i="1"/>
  <c r="M30" i="1"/>
  <c r="L30" i="1"/>
  <c r="K30" i="1"/>
  <c r="D6" i="2"/>
  <c r="C6" i="2"/>
  <c r="D5" i="2"/>
  <c r="D4" i="2"/>
  <c r="C4" i="2"/>
  <c r="M104" i="1"/>
  <c r="M103" i="1"/>
  <c r="N103" i="1"/>
  <c r="D3" i="2"/>
  <c r="C3" i="2"/>
  <c r="D2" i="2"/>
  <c r="C2" i="2"/>
  <c r="E2" i="2"/>
  <c r="I5" i="2"/>
  <c r="L106" i="1"/>
  <c r="L101" i="1"/>
  <c r="L105" i="1"/>
  <c r="L110" i="1"/>
  <c r="L111" i="1"/>
  <c r="I3" i="2"/>
  <c r="N106" i="1"/>
  <c r="D7" i="2"/>
  <c r="C7" i="2"/>
  <c r="F7" i="2"/>
  <c r="I7" i="2"/>
  <c r="D9" i="2"/>
  <c r="D10" i="2"/>
  <c r="C10" i="2"/>
  <c r="G10" i="2"/>
  <c r="O50" i="1"/>
  <c r="O51" i="1"/>
  <c r="O48" i="1"/>
  <c r="O49" i="1"/>
  <c r="M101" i="1"/>
  <c r="M107" i="1"/>
  <c r="N107" i="1"/>
  <c r="N105" i="1"/>
  <c r="I9" i="2"/>
  <c r="I10" i="2"/>
  <c r="I2" i="2"/>
  <c r="M106" i="1"/>
  <c r="M105" i="1"/>
  <c r="M102" i="1"/>
  <c r="M108" i="1"/>
  <c r="N108" i="1"/>
  <c r="P18" i="1"/>
  <c r="P23" i="1"/>
  <c r="P13" i="1"/>
  <c r="P14" i="1"/>
  <c r="K18" i="1"/>
  <c r="K23" i="1"/>
  <c r="P37" i="1"/>
  <c r="K13" i="1"/>
  <c r="K14" i="1"/>
  <c r="K15" i="1"/>
  <c r="K38" i="1"/>
  <c r="K37" i="1"/>
  <c r="N23" i="1"/>
  <c r="M23" i="1"/>
  <c r="L23" i="1"/>
  <c r="L13" i="1"/>
  <c r="M13" i="1"/>
  <c r="N13" i="1"/>
  <c r="L14" i="1"/>
  <c r="M14" i="1"/>
  <c r="M15" i="1"/>
  <c r="M38" i="1"/>
  <c r="N14" i="1"/>
  <c r="L18" i="1"/>
  <c r="M18" i="1"/>
  <c r="N18" i="1"/>
  <c r="L37" i="1"/>
  <c r="M37" i="1"/>
  <c r="N37" i="1"/>
  <c r="M21" i="1"/>
  <c r="L21" i="1"/>
  <c r="P25" i="1"/>
  <c r="L25" i="1"/>
  <c r="P15" i="1"/>
  <c r="K21" i="1"/>
  <c r="L15" i="1"/>
  <c r="L38" i="1"/>
  <c r="N15" i="1"/>
  <c r="P21" i="1"/>
  <c r="N111" i="1"/>
  <c r="N38" i="1"/>
  <c r="P38" i="1"/>
  <c r="K25" i="1"/>
  <c r="M25" i="1"/>
  <c r="M22" i="1"/>
  <c r="N25" i="1"/>
  <c r="L22" i="1"/>
  <c r="N22" i="1"/>
  <c r="P22" i="1"/>
  <c r="G6" i="2"/>
  <c r="F6" i="2"/>
  <c r="G2" i="2"/>
  <c r="F10" i="2"/>
  <c r="H10" i="2"/>
  <c r="J10" i="2"/>
  <c r="J109" i="1"/>
  <c r="C9" i="2"/>
  <c r="F2" i="2"/>
  <c r="G4" i="2"/>
  <c r="F4" i="2"/>
  <c r="H4" i="2"/>
  <c r="J4" i="2"/>
  <c r="J103" i="1"/>
  <c r="F3" i="2"/>
  <c r="G3" i="2"/>
  <c r="F8" i="2"/>
  <c r="H8" i="2"/>
  <c r="J8" i="2"/>
  <c r="J107" i="1"/>
  <c r="G7" i="2"/>
  <c r="H7" i="2"/>
  <c r="J7" i="2"/>
  <c r="J106" i="1"/>
  <c r="C5" i="2"/>
  <c r="H6" i="2"/>
  <c r="J6" i="2"/>
  <c r="J105" i="1"/>
  <c r="H2" i="2"/>
  <c r="J2" i="2"/>
  <c r="J101" i="1"/>
  <c r="K26" i="1"/>
  <c r="K28" i="1"/>
  <c r="O26" i="1"/>
  <c r="M26" i="1"/>
  <c r="N26" i="1"/>
  <c r="N28" i="1"/>
  <c r="L26" i="1"/>
  <c r="L28" i="1"/>
  <c r="L33" i="1"/>
  <c r="P26" i="1"/>
  <c r="H3" i="2"/>
  <c r="J3" i="2"/>
  <c r="J102" i="1"/>
  <c r="M28" i="1"/>
  <c r="F9" i="2"/>
  <c r="G9" i="2"/>
  <c r="F5" i="2"/>
  <c r="G5" i="2"/>
  <c r="N33" i="1"/>
  <c r="M33" i="1"/>
  <c r="M50" i="1"/>
  <c r="M34" i="1"/>
  <c r="L34" i="1"/>
  <c r="L50" i="1"/>
  <c r="K33" i="1"/>
  <c r="N34" i="1"/>
  <c r="N50" i="1"/>
  <c r="P28" i="1"/>
  <c r="P33" i="1"/>
  <c r="H9" i="2"/>
  <c r="J9" i="2"/>
  <c r="J108" i="1"/>
  <c r="H5" i="2"/>
  <c r="J5" i="2"/>
  <c r="J104" i="1"/>
  <c r="J111" i="1"/>
  <c r="P39" i="1"/>
  <c r="P43" i="1"/>
  <c r="P45" i="1"/>
  <c r="P34" i="1"/>
  <c r="P50" i="1"/>
  <c r="K34" i="1"/>
  <c r="K50" i="1"/>
  <c r="M39" i="1"/>
  <c r="M43" i="1"/>
  <c r="M45" i="1"/>
  <c r="K39" i="1"/>
  <c r="K43" i="1"/>
  <c r="K45" i="1"/>
  <c r="N39" i="1"/>
  <c r="N43" i="1"/>
  <c r="N45" i="1"/>
  <c r="L39" i="1"/>
  <c r="L43" i="1"/>
  <c r="L45" i="1"/>
  <c r="K46" i="1"/>
  <c r="K51" i="1"/>
  <c r="N51" i="1"/>
  <c r="N46" i="1"/>
  <c r="P51" i="1"/>
  <c r="P46" i="1"/>
  <c r="L51" i="1"/>
  <c r="L46" i="1"/>
  <c r="M51" i="1"/>
  <c r="M46" i="1"/>
  <c r="L49" i="1"/>
  <c r="L48" i="1"/>
  <c r="N48" i="1"/>
  <c r="N49" i="1"/>
  <c r="K48" i="1"/>
  <c r="K49" i="1"/>
  <c r="M49" i="1"/>
  <c r="M48" i="1"/>
  <c r="P48" i="1"/>
  <c r="P49" i="1"/>
</calcChain>
</file>

<file path=xl/sharedStrings.xml><?xml version="1.0" encoding="utf-8"?>
<sst xmlns="http://schemas.openxmlformats.org/spreadsheetml/2006/main" count="178" uniqueCount="156">
  <si>
    <t>ITEM</t>
  </si>
  <si>
    <t>EXPLANATION</t>
  </si>
  <si>
    <t>PRICE PER</t>
  </si>
  <si>
    <t>YOUR</t>
  </si>
  <si>
    <t>UNIT</t>
  </si>
  <si>
    <t>BUDGET</t>
  </si>
  <si>
    <t>of yield</t>
  </si>
  <si>
    <t>/ton</t>
  </si>
  <si>
    <t>Total Alfalfa Receipts</t>
  </si>
  <si>
    <t>VARIABLE  COSTS</t>
  </si>
  <si>
    <t xml:space="preserve"> pounds</t>
  </si>
  <si>
    <t>/lb</t>
  </si>
  <si>
    <t>Lime(ton)</t>
  </si>
  <si>
    <t>mo</t>
  </si>
  <si>
    <t>TOTAL VARIABLE COSTS</t>
  </si>
  <si>
    <t>-Per Acre</t>
  </si>
  <si>
    <t>-Per Ton</t>
  </si>
  <si>
    <t>FIXED COSTS</t>
  </si>
  <si>
    <t>hours</t>
  </si>
  <si>
    <t>/hour</t>
  </si>
  <si>
    <t>Management Charge</t>
  </si>
  <si>
    <t>of gross revenue</t>
  </si>
  <si>
    <t>TOTAL FIXED COSTS</t>
  </si>
  <si>
    <t>TOTAL COSTS</t>
  </si>
  <si>
    <t>RETURN ABOVE VARIABLE COSTS</t>
  </si>
  <si>
    <t>RETURN ABOVE TOTAL COSTS</t>
  </si>
  <si>
    <t xml:space="preserve">Annual application of maintenance fertilizer. 5-10 lb. of N. could be added at seeding. </t>
  </si>
  <si>
    <t>vary over time and by area.  Check with local sources for current prices.</t>
  </si>
  <si>
    <t>See table below for specific calculations.</t>
  </si>
  <si>
    <t xml:space="preserve">Part or all of labor may be a variable cost if paid labor varies with acres farmed. It’s a fixed cost if labor costs  </t>
  </si>
  <si>
    <t>Seedbed preparation and seeding costs are charged at custom hire rates and prorated over 4 years.  The following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</si>
  <si>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</si>
  <si>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</si>
  <si>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</si>
  <si>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>Repairs ($/A)</t>
  </si>
  <si>
    <t>Hay Rake</t>
  </si>
  <si>
    <t>75 HP Tractor</t>
  </si>
  <si>
    <r>
      <t>YIELD (ton/A)</t>
    </r>
    <r>
      <rPr>
        <b/>
        <vertAlign val="superscript"/>
        <sz val="10"/>
        <rFont val="Arial"/>
        <family val="2"/>
      </rPr>
      <t xml:space="preserve">  2</t>
    </r>
  </si>
  <si>
    <r>
      <t xml:space="preserve">RECEIPTS </t>
    </r>
    <r>
      <rPr>
        <b/>
        <vertAlign val="superscript"/>
        <sz val="10"/>
        <rFont val="Arial"/>
        <family val="2"/>
      </rPr>
      <t>3</t>
    </r>
  </si>
  <si>
    <r>
      <t xml:space="preserve">Seed </t>
    </r>
    <r>
      <rPr>
        <vertAlign val="superscript"/>
        <sz val="10"/>
        <rFont val="Arial"/>
        <family val="2"/>
      </rPr>
      <t>4</t>
    </r>
  </si>
  <si>
    <r>
      <t xml:space="preserve">Fertilizer 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</si>
  <si>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</si>
  <si>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</si>
  <si>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</si>
  <si>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 xml:space="preserve">Fuel, Oil, Grease </t>
    </r>
    <r>
      <rPr>
        <vertAlign val="superscript"/>
        <sz val="10"/>
        <rFont val="Arial"/>
        <family val="2"/>
      </rPr>
      <t>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</si>
  <si>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</si>
  <si>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Miscellaneous </t>
    </r>
    <r>
      <rPr>
        <vertAlign val="superscript"/>
        <sz val="10"/>
        <rFont val="Arial"/>
        <family val="2"/>
      </rPr>
      <t>9</t>
    </r>
  </si>
  <si>
    <t>Machinery Cost</t>
  </si>
  <si>
    <t>Acres per Year</t>
  </si>
  <si>
    <t>Cost per Acre</t>
  </si>
  <si>
    <t>Acres/ Hr</t>
  </si>
  <si>
    <t>Fuel*        (gal/A)</t>
  </si>
  <si>
    <t>-----</t>
  </si>
  <si>
    <t>Pickup Truck (1/2)**</t>
  </si>
  <si>
    <t>Fuel</t>
  </si>
  <si>
    <t>Machinery and Equipment Charge per Acre</t>
  </si>
  <si>
    <t>F&amp;L</t>
  </si>
  <si>
    <t>Repairs</t>
  </si>
  <si>
    <t>Price of Diesel Fuel =</t>
  </si>
  <si>
    <t>Years 2-4</t>
  </si>
  <si>
    <t>See table below for specific calculations. Lubrication costs are assumed to be 10% of fuel costs.</t>
  </si>
  <si>
    <r>
      <t>Custom Hire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</si>
  <si>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 xml:space="preserve"> 12</t>
    </r>
  </si>
  <si>
    <r>
      <t xml:space="preserve">Labor Charge </t>
    </r>
    <r>
      <rPr>
        <vertAlign val="superscript"/>
        <sz val="10"/>
        <rFont val="Arial"/>
        <family val="2"/>
      </rPr>
      <t>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</si>
  <si>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</si>
  <si>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r>
      <t xml:space="preserve">Seedbed Preparation/Seeding Costs - Custom Hire  </t>
    </r>
    <r>
      <rPr>
        <vertAlign val="superscript"/>
        <sz val="10"/>
        <rFont val="Arial"/>
        <family val="2"/>
      </rPr>
      <t>14</t>
    </r>
  </si>
  <si>
    <r>
      <t xml:space="preserve">Land Charge </t>
    </r>
    <r>
      <rPr>
        <vertAlign val="superscript"/>
        <sz val="10"/>
        <rFont val="Arial"/>
        <family val="2"/>
      </rPr>
      <t>15</t>
    </r>
  </si>
  <si>
    <t>Harvest Machinery and Equipment Inventory</t>
  </si>
  <si>
    <r>
      <t>Year 1</t>
    </r>
    <r>
      <rPr>
        <b/>
        <vertAlign val="superscript"/>
        <sz val="10"/>
        <rFont val="Arial"/>
        <family val="2"/>
      </rPr>
      <t>2</t>
    </r>
  </si>
  <si>
    <t xml:space="preserve">Soil test values of CEC=20, P=25 ppm, K=150 ppm. Fertilizer prices </t>
  </si>
  <si>
    <t>Lime applied prior to seeding - 2 Tons prorated over the 4 year period; 0.5 ton per year.</t>
  </si>
  <si>
    <t>PROD.</t>
  </si>
  <si>
    <t>Numbers</t>
  </si>
  <si>
    <t>Assumes MAP(11-52-0):</t>
  </si>
  <si>
    <t>Potash(0-0-60):</t>
  </si>
  <si>
    <t>Fertilizer Spreader</t>
  </si>
  <si>
    <t>Updated:</t>
  </si>
  <si>
    <t xml:space="preserve">do not change with acres farmed. </t>
  </si>
  <si>
    <t>the spreadsheet.</t>
  </si>
  <si>
    <t>These cells may be input manually, but macros will be overwritten!</t>
  </si>
  <si>
    <t>Values highlighted in gray are stand alone cells that require direct input from the user.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</si>
  <si>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</si>
  <si>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</si>
  <si>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</si>
  <si>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</si>
  <si>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</si>
  <si>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</si>
  <si>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</si>
  <si>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</si>
  <si>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Acres/Year</t>
  </si>
  <si>
    <t>Hours / Year</t>
  </si>
  <si>
    <t>Land charges vary throughout the state, check your local rates.</t>
  </si>
  <si>
    <t>See the reference online at:</t>
  </si>
  <si>
    <t>**Pickup truck assumed to be used equipment.</t>
  </si>
  <si>
    <t xml:space="preserve">Machines are all assumed to be new and in the first year of use (Except for pickup truck). </t>
  </si>
  <si>
    <t>Salvage values are based on ASAE formulas.</t>
  </si>
  <si>
    <t>*Fuel calculations are based on the implement plus tractor. Four cuttings assumed.</t>
  </si>
  <si>
    <t>Mower Conditioner 12 ft.</t>
  </si>
  <si>
    <t>Prepared by:</t>
  </si>
  <si>
    <t>SP Forage Harvester**</t>
  </si>
  <si>
    <t>Pickup Head 12 ft.</t>
  </si>
  <si>
    <t>Forage Wagons (3)</t>
  </si>
  <si>
    <r>
      <t>Hauling</t>
    </r>
    <r>
      <rPr>
        <vertAlign val="superscript"/>
        <sz val="10"/>
        <rFont val="Arial"/>
        <family val="2"/>
      </rPr>
      <t>11a</t>
    </r>
  </si>
  <si>
    <t>/gal Diesel</t>
  </si>
  <si>
    <t>miles</t>
  </si>
  <si>
    <t>11a</t>
  </si>
  <si>
    <t>See table below for details.</t>
  </si>
  <si>
    <t>OSU Extension Enterprise Budgets can be found online at:</t>
  </si>
  <si>
    <t>http://aede.osu.edu/programs/farmmanagement/budgets</t>
  </si>
  <si>
    <t>Machinery charges based on 4 cuttings per year, spring seeding year charges at 50% of annual costs based on two cuttings.</t>
  </si>
  <si>
    <t xml:space="preserve"> 3.4, 5.1, or 6.8 tons of DM in years 2 through 4 respectively (depending on soil productivity).</t>
  </si>
  <si>
    <t>at less than optimum maturity and/or condition. 70% of crop is assumed to be harvested at optimum conditions.</t>
  </si>
  <si>
    <t xml:space="preserve">Based on 42% DM alfalfa haylage.  Haylage quality will often vary over the growing season.  High quality alfalfa is </t>
  </si>
  <si>
    <t>Year 1 Fertilizer application rates assumed to be at the 8.0 ton yield goal.</t>
  </si>
  <si>
    <t>Seeding year charges at 50% of annual charges assuming two cuttings.</t>
  </si>
  <si>
    <t>Values highlighted in light blue are cells embedded with macros and will be calculated for the user based on data entered.</t>
  </si>
  <si>
    <t>Hay Rake - 30'</t>
  </si>
  <si>
    <t>5.0 % Interest on average value, 0.5% Insurance cost on average value and 1.0% Housing cost on average value.</t>
  </si>
  <si>
    <t xml:space="preserve"> Does not include storage costs.</t>
  </si>
  <si>
    <t>Machinery cost estimates, fuel estimates and cost calculations based on information from "Machinery Cost Estimates"</t>
  </si>
  <si>
    <t>Year 2: $4.25/acre (Baythroid - 2.5 oz/a for alfalfa weevil, 1.6 oz/a for potato leafhopper)</t>
  </si>
  <si>
    <t>Year 3: $20.50/acre (metribuzin - 1 lb/ac, Baythroid at 1.6 oz/a for PLH, 2 treatments).</t>
  </si>
  <si>
    <t>Year 4: $1.65/acre (Baythroid at 1.6 oz/a for PLH).</t>
  </si>
  <si>
    <t>Year 2-4 Avg. = $8.80/ac</t>
  </si>
  <si>
    <t>Assumes production of 400 acres of alfalfa haylage (total farm size: 2000 acres).</t>
  </si>
  <si>
    <t>Seed costs are prorated over the four-year stand life.</t>
  </si>
  <si>
    <t>Interest charged for 6 months</t>
  </si>
  <si>
    <t>Land charge in year 1 assumes you are budgeting for soil productivity capabilities of 12 ton/acre (average productivity)</t>
  </si>
  <si>
    <r>
      <t xml:space="preserve">Interest on Operating Capital </t>
    </r>
    <r>
      <rPr>
        <vertAlign val="superscript"/>
        <sz val="10"/>
        <rFont val="Arial"/>
        <family val="2"/>
      </rPr>
      <t>10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</si>
  <si>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16</t>
    </r>
  </si>
  <si>
    <t>Includes supplies, utilities, soil tests, small tools, etc.</t>
  </si>
  <si>
    <t>Hauling assumes 6 tons per wagon. 6 miles/gallon for truck.  Lube/Oil is 10% of fuel cost.</t>
  </si>
  <si>
    <t>Average based on "Ohio Cropland Values and Cash Rents" factsheet: http://aede.osu.edu/research/osu-farm-management</t>
  </si>
  <si>
    <t>Machinery and Equipment charge per acre:</t>
  </si>
  <si>
    <t>Machinery cost (new cost) assumes 8 year useful life using straight line depreciation,</t>
  </si>
  <si>
    <t>105 HP Tractor</t>
  </si>
  <si>
    <t>Rotary Mower/Cond. 12 ft.</t>
  </si>
  <si>
    <t>2016 ALFALFA HAYLAGE PRODUCTION BUDGET</t>
  </si>
  <si>
    <t>Alfalfa Haylage - High Quality</t>
  </si>
  <si>
    <t>Alfalfa Haylage - Fair Quality</t>
  </si>
  <si>
    <r>
      <t xml:space="preserve">Spring Seeding - 4 Year Stand </t>
    </r>
    <r>
      <rPr>
        <b/>
        <vertAlign val="superscript"/>
        <sz val="12"/>
        <rFont val="Arial"/>
        <family val="2"/>
      </rPr>
      <t>1</t>
    </r>
  </si>
  <si>
    <t xml:space="preserve">assumed to be harvested at optimum maturity and condition.  Fair quality alfalfa is assumed to be harvested </t>
  </si>
  <si>
    <t>Based on 42% dry matter (DM) Haylage.  Assumes a 2.1 ton DM yield in seeding year; yields of approximately</t>
  </si>
  <si>
    <t>Custom hire includes: 8 chemical sprays over 4 year period @ $7/acre = $56/acre/4 years = $14/acre</t>
  </si>
  <si>
    <t>rates per acre are included: Chisel Plow $17.80, Field Cultivate-$13.55, Cultimulch-$14.30, Seeding-$16.75 = $62.40.</t>
  </si>
  <si>
    <t>$62.40 divided by 4 years = $15.60/acre</t>
  </si>
  <si>
    <t>Authors: Barry Ward, Dr. Mark Sulc, Dianne Shoemaker, Dr. Mark Loux</t>
  </si>
  <si>
    <t xml:space="preserve">*Leader, Production Business Management; Extension Specialist, Forages; </t>
  </si>
  <si>
    <t>Extension Field Specialist, Dairy Production Economics; Extension Specialist, Weed Science.</t>
  </si>
  <si>
    <t xml:space="preserve">Values highlighted in gold may be changed to assist in computing the "Your Budget" column using macros embedded within  </t>
  </si>
  <si>
    <t>Seeding year: $20.61/acre (Pursuit - 4 oz/a,  Select - 7 oz/a, Baythroid - 1.6 oz/a)</t>
  </si>
  <si>
    <t>Reflects 2000 crop acres including 400 acres of alfalfa haylage, 800 acres corn, 800 acres soybeans</t>
  </si>
  <si>
    <t>SP Forage Harvester*</t>
  </si>
  <si>
    <t>The "machinery cost" tab (next tab at the bottom of this worksheet) shows details of "Machinery and Equipment Charge per Acre".</t>
  </si>
  <si>
    <t>https://drive.google.com/file/d/0B3psjoooP5QxWWd3a2cwblJCTjQ/view</t>
  </si>
  <si>
    <t>Based on Ohio Farm Custom Rates: http://aede.osu.edu/about-us/publications/ohio-farm-custom-rates-2016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</si>
</sst>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&quot;$&quot;#,##0.00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5" fillId="0" borderId="0" xfId="0" applyFont="1"/>
    <xf numFmtId="166" fontId="3" fillId="0" borderId="0" xfId="0" applyNumberFormat="1" applyFont="1"/>
    <xf numFmtId="167" fontId="3" fillId="0" borderId="0" xfId="0" applyNumberFormat="1" applyFont="1"/>
    <xf numFmtId="0" fontId="3" fillId="0" borderId="3" xfId="0" applyFont="1" applyBorder="1"/>
    <xf numFmtId="49" fontId="5" fillId="0" borderId="0" xfId="0" applyNumberFormat="1" applyFont="1"/>
    <xf numFmtId="0" fontId="5" fillId="0" borderId="2" xfId="0" applyFont="1" applyBorder="1"/>
    <xf numFmtId="1" fontId="3" fillId="0" borderId="2" xfId="0" applyNumberFormat="1" applyFont="1" applyBorder="1"/>
    <xf numFmtId="2" fontId="3" fillId="0" borderId="0" xfId="0" applyNumberFormat="1" applyFont="1" applyBorder="1"/>
    <xf numFmtId="0" fontId="8" fillId="0" borderId="0" xfId="0" applyFont="1"/>
    <xf numFmtId="1" fontId="0" fillId="0" borderId="0" xfId="0" applyNumberFormat="1"/>
    <xf numFmtId="166" fontId="12" fillId="2" borderId="0" xfId="0" applyNumberFormat="1" applyFont="1" applyFill="1" applyAlignment="1">
      <alignment horizontal="center"/>
    </xf>
    <xf numFmtId="2" fontId="0" fillId="0" borderId="0" xfId="0" applyNumberFormat="1"/>
    <xf numFmtId="0" fontId="11" fillId="0" borderId="0" xfId="0" applyFont="1"/>
    <xf numFmtId="2" fontId="5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2" fontId="0" fillId="0" borderId="2" xfId="0" applyNumberFormat="1" applyBorder="1"/>
    <xf numFmtId="0" fontId="12" fillId="0" borderId="0" xfId="0" applyFo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2" applyNumberFormat="1" applyFont="1" applyFill="1" applyBorder="1" applyAlignment="1">
      <alignment horizontal="center"/>
    </xf>
    <xf numFmtId="3" fontId="12" fillId="2" borderId="2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2" fontId="12" fillId="0" borderId="2" xfId="0" quotePrefix="1" applyNumberFormat="1" applyFont="1" applyBorder="1" applyAlignment="1">
      <alignment horizontal="center"/>
    </xf>
    <xf numFmtId="9" fontId="12" fillId="0" borderId="0" xfId="4" applyFont="1"/>
    <xf numFmtId="0" fontId="12" fillId="0" borderId="0" xfId="0" applyFont="1" applyAlignment="1">
      <alignment horizontal="center"/>
    </xf>
    <xf numFmtId="165" fontId="0" fillId="0" borderId="0" xfId="0" applyNumberFormat="1"/>
    <xf numFmtId="0" fontId="13" fillId="0" borderId="0" xfId="0" applyFont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168" fontId="13" fillId="0" borderId="0" xfId="1" applyNumberFormat="1" applyFont="1" applyAlignment="1">
      <alignment horizontal="center"/>
    </xf>
    <xf numFmtId="165" fontId="13" fillId="3" borderId="0" xfId="0" applyNumberFormat="1" applyFont="1" applyFill="1" applyAlignment="1">
      <alignment horizontal="center"/>
    </xf>
    <xf numFmtId="9" fontId="13" fillId="0" borderId="0" xfId="4" applyFont="1" applyAlignment="1">
      <alignment horizontal="right"/>
    </xf>
    <xf numFmtId="9" fontId="12" fillId="0" borderId="0" xfId="4" applyFont="1" applyAlignment="1">
      <alignment horizontal="right"/>
    </xf>
    <xf numFmtId="168" fontId="12" fillId="0" borderId="0" xfId="1" applyNumberFormat="1" applyFont="1"/>
    <xf numFmtId="2" fontId="13" fillId="0" borderId="0" xfId="0" applyNumberFormat="1" applyFont="1"/>
    <xf numFmtId="168" fontId="13" fillId="0" borderId="0" xfId="0" applyNumberFormat="1" applyFont="1" applyAlignment="1">
      <alignment horizontal="right"/>
    </xf>
    <xf numFmtId="7" fontId="13" fillId="2" borderId="0" xfId="2" applyNumberFormat="1" applyFont="1" applyFill="1"/>
    <xf numFmtId="164" fontId="12" fillId="2" borderId="0" xfId="0" quotePrefix="1" applyNumberFormat="1" applyFont="1" applyFill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4" fontId="3" fillId="0" borderId="3" xfId="0" quotePrefix="1" applyNumberFormat="1" applyFont="1" applyBorder="1"/>
    <xf numFmtId="4" fontId="3" fillId="0" borderId="5" xfId="0" applyNumberFormat="1" applyFon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168" fontId="3" fillId="0" borderId="0" xfId="1" applyNumberFormat="1" applyFont="1" applyBorder="1"/>
    <xf numFmtId="2" fontId="5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7" fontId="5" fillId="0" borderId="0" xfId="2" applyNumberFormat="1" applyFont="1" applyBorder="1"/>
    <xf numFmtId="168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/>
    <xf numFmtId="168" fontId="12" fillId="0" borderId="0" xfId="0" applyNumberFormat="1" applyFont="1" applyAlignment="1">
      <alignment horizontal="right"/>
    </xf>
    <xf numFmtId="2" fontId="12" fillId="0" borderId="0" xfId="0" applyNumberFormat="1" applyFont="1"/>
    <xf numFmtId="2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164" fontId="5" fillId="2" borderId="2" xfId="0" applyNumberFormat="1" applyFont="1" applyFill="1" applyBorder="1"/>
    <xf numFmtId="4" fontId="5" fillId="3" borderId="0" xfId="0" applyNumberFormat="1" applyFont="1" applyFill="1"/>
    <xf numFmtId="4" fontId="5" fillId="3" borderId="3" xfId="0" applyNumberFormat="1" applyFont="1" applyFill="1" applyBorder="1"/>
    <xf numFmtId="4" fontId="5" fillId="0" borderId="0" xfId="0" applyNumberFormat="1" applyFont="1"/>
    <xf numFmtId="4" fontId="5" fillId="0" borderId="3" xfId="0" quotePrefix="1" applyNumberFormat="1" applyFont="1" applyBorder="1"/>
    <xf numFmtId="9" fontId="14" fillId="2" borderId="0" xfId="4" applyFont="1" applyFill="1"/>
    <xf numFmtId="166" fontId="14" fillId="2" borderId="0" xfId="0" applyNumberFormat="1" applyFont="1" applyFill="1"/>
    <xf numFmtId="0" fontId="14" fillId="2" borderId="0" xfId="0" applyFont="1" applyFill="1"/>
    <xf numFmtId="167" fontId="14" fillId="2" borderId="0" xfId="0" applyNumberFormat="1" applyFont="1" applyFill="1"/>
    <xf numFmtId="4" fontId="5" fillId="4" borderId="0" xfId="0" applyNumberFormat="1" applyFont="1" applyFill="1"/>
    <xf numFmtId="0" fontId="5" fillId="0" borderId="2" xfId="0" applyFont="1" applyBorder="1" applyAlignment="1">
      <alignment horizontal="center"/>
    </xf>
    <xf numFmtId="2" fontId="5" fillId="0" borderId="0" xfId="0" applyNumberFormat="1" applyFont="1"/>
    <xf numFmtId="4" fontId="5" fillId="0" borderId="0" xfId="0" applyNumberFormat="1" applyFont="1" applyFill="1"/>
    <xf numFmtId="9" fontId="0" fillId="0" borderId="0" xfId="0" applyNumberFormat="1"/>
    <xf numFmtId="0" fontId="12" fillId="0" borderId="0" xfId="0" quotePrefix="1" applyFont="1"/>
    <xf numFmtId="0" fontId="0" fillId="5" borderId="0" xfId="0" applyFill="1" applyBorder="1"/>
    <xf numFmtId="164" fontId="12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0" fillId="0" borderId="2" xfId="0" applyNumberFormat="1" applyBorder="1"/>
    <xf numFmtId="2" fontId="12" fillId="3" borderId="1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39" fontId="12" fillId="3" borderId="2" xfId="0" applyNumberFormat="1" applyFont="1" applyFill="1" applyBorder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0" xfId="0" applyNumberFormat="1" applyFill="1" applyBorder="1"/>
    <xf numFmtId="2" fontId="0" fillId="3" borderId="0" xfId="0" applyNumberFormat="1" applyFill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2" xfId="0" applyBorder="1"/>
    <xf numFmtId="2" fontId="0" fillId="0" borderId="0" xfId="0" applyNumberFormat="1" applyAlignment="1">
      <alignment horizontal="center" wrapText="1"/>
    </xf>
    <xf numFmtId="165" fontId="0" fillId="3" borderId="2" xfId="0" applyNumberFormat="1" applyFill="1" applyBorder="1" applyAlignment="1">
      <alignment horizontal="center"/>
    </xf>
    <xf numFmtId="2" fontId="0" fillId="0" borderId="0" xfId="0" quotePrefix="1" applyNumberFormat="1"/>
    <xf numFmtId="0" fontId="2" fillId="0" borderId="0" xfId="3" applyAlignment="1" applyProtection="1"/>
    <xf numFmtId="165" fontId="14" fillId="2" borderId="0" xfId="0" applyNumberFormat="1" applyFont="1" applyFill="1"/>
    <xf numFmtId="169" fontId="14" fillId="2" borderId="0" xfId="0" applyNumberFormat="1" applyFont="1" applyFill="1"/>
    <xf numFmtId="166" fontId="12" fillId="2" borderId="0" xfId="0" applyNumberFormat="1" applyFont="1" applyFill="1"/>
    <xf numFmtId="166" fontId="12" fillId="2" borderId="0" xfId="0" quotePrefix="1" applyNumberFormat="1" applyFont="1" applyFill="1"/>
    <xf numFmtId="0" fontId="12" fillId="0" borderId="0" xfId="0" applyFont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wrapText="1"/>
    </xf>
    <xf numFmtId="4" fontId="5" fillId="6" borderId="0" xfId="0" applyNumberFormat="1" applyFont="1" applyFill="1"/>
    <xf numFmtId="164" fontId="12" fillId="0" borderId="0" xfId="0" quotePrefix="1" applyNumberFormat="1" applyFont="1" applyBorder="1" applyAlignment="1">
      <alignment horizontal="center"/>
    </xf>
    <xf numFmtId="2" fontId="12" fillId="0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/>
    <xf numFmtId="0" fontId="3" fillId="0" borderId="0" xfId="0" quotePrefix="1" applyFont="1"/>
    <xf numFmtId="1" fontId="5" fillId="2" borderId="0" xfId="0" applyNumberFormat="1" applyFont="1" applyFill="1"/>
    <xf numFmtId="0" fontId="2" fillId="0" borderId="0" xfId="3" applyBorder="1" applyAlignment="1" applyProtection="1"/>
    <xf numFmtId="0" fontId="0" fillId="0" borderId="0" xfId="0"/>
    <xf numFmtId="0" fontId="7" fillId="0" borderId="0" xfId="0" applyFont="1" applyAlignment="1">
      <alignment horizontal="center"/>
    </xf>
    <xf numFmtId="0" fontId="3" fillId="7" borderId="0" xfId="0" applyFont="1" applyFill="1"/>
    <xf numFmtId="0" fontId="7" fillId="7" borderId="0" xfId="0" applyFont="1" applyFill="1" applyAlignment="1">
      <alignment horizontal="center"/>
    </xf>
    <xf numFmtId="0" fontId="0" fillId="0" borderId="0" xfId="0" applyFont="1" applyBorder="1"/>
    <xf numFmtId="0" fontId="1" fillId="0" borderId="0" xfId="0" applyFont="1"/>
    <xf numFmtId="0" fontId="0" fillId="0" borderId="0" xfId="0"/>
    <xf numFmtId="168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2" fillId="0" borderId="0" xfId="0" applyFont="1" applyFill="1" applyBorder="1"/>
    <xf numFmtId="0" fontId="0" fillId="0" borderId="0" xfId="0"/>
    <xf numFmtId="0" fontId="3" fillId="8" borderId="0" xfId="0" applyFont="1" applyFill="1" applyBorder="1"/>
    <xf numFmtId="0" fontId="3" fillId="9" borderId="0" xfId="0" applyFont="1" applyFill="1" applyBorder="1"/>
    <xf numFmtId="0" fontId="3" fillId="0" borderId="0" xfId="0" applyFont="1" applyFill="1"/>
    <xf numFmtId="0" fontId="3" fillId="10" borderId="0" xfId="0" applyFont="1" applyFill="1" applyBorder="1"/>
    <xf numFmtId="14" fontId="5" fillId="0" borderId="0" xfId="0" applyNumberFormat="1" applyFont="1" applyAlignment="1"/>
    <xf numFmtId="0" fontId="5" fillId="0" borderId="0" xfId="0" applyFont="1" applyAlignment="1"/>
    <xf numFmtId="2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5</xdr:col>
      <xdr:colOff>438150</xdr:colOff>
      <xdr:row>4</xdr:row>
      <xdr:rowOff>104775</xdr:rowOff>
    </xdr:to>
    <xdr:pic>
      <xdr:nvPicPr>
        <xdr:cNvPr id="4" name="Picture 3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2209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ede.osu.edu/programs/farmmanagement/budgets" TargetMode="External"/><Relationship Id="rId1" Type="http://schemas.openxmlformats.org/officeDocument/2006/relationships/hyperlink" Target="http://aede.osu.edu/resources/docs/pdf/UDSIO6SG-9315-IQAW-X7QLG33KLHMNAZZ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3"/>
  <sheetViews>
    <sheetView tabSelected="1" view="pageBreakPreview" zoomScaleSheetLayoutView="100" workbookViewId="0">
      <selection activeCell="H2" sqref="H2"/>
    </sheetView>
  </sheetViews>
  <sheetFormatPr defaultColWidth="8.85546875" defaultRowHeight="12.75" x14ac:dyDescent="0.2"/>
  <cols>
    <col min="1" max="2" width="2.7109375" customWidth="1"/>
    <col min="4" max="4" width="6.42578125" customWidth="1"/>
    <col min="5" max="5" width="7.42578125" customWidth="1"/>
    <col min="6" max="6" width="8.85546875" customWidth="1"/>
    <col min="7" max="8" width="7.42578125" customWidth="1"/>
    <col min="9" max="9" width="8" customWidth="1"/>
    <col min="10" max="10" width="7.28515625" customWidth="1"/>
    <col min="11" max="11" width="8.140625" customWidth="1"/>
    <col min="12" max="12" width="7.28515625" style="24" customWidth="1"/>
    <col min="13" max="13" width="8.42578125" style="24" customWidth="1"/>
    <col min="14" max="14" width="8.28515625" style="24" customWidth="1"/>
    <col min="15" max="15" width="0.85546875" customWidth="1"/>
    <col min="16" max="16" width="9.42578125" customWidth="1"/>
    <col min="17" max="17" width="9.7109375" customWidth="1"/>
    <col min="18" max="18" width="9.28515625" bestFit="1" customWidth="1"/>
  </cols>
  <sheetData>
    <row r="1" spans="1:18" x14ac:dyDescent="0.2">
      <c r="A1" s="149"/>
      <c r="B1" s="149"/>
      <c r="C1" s="149"/>
      <c r="D1" s="149"/>
      <c r="E1" s="149"/>
      <c r="F1" s="149"/>
      <c r="G1" s="2"/>
      <c r="H1" s="2"/>
      <c r="I1" s="1"/>
      <c r="J1" s="1"/>
      <c r="K1" s="1"/>
      <c r="L1" s="3"/>
      <c r="M1" s="3"/>
      <c r="N1" s="3"/>
      <c r="O1" s="1"/>
      <c r="P1" s="1"/>
    </row>
    <row r="2" spans="1:18" s="147" customFormat="1" ht="15.75" x14ac:dyDescent="0.25">
      <c r="A2" s="149"/>
      <c r="B2" s="149"/>
      <c r="C2" s="150"/>
      <c r="D2" s="150"/>
      <c r="E2" s="150"/>
      <c r="F2" s="150"/>
      <c r="G2" s="148"/>
      <c r="H2" s="148"/>
      <c r="I2" s="148"/>
      <c r="J2" s="148"/>
      <c r="K2" s="148" t="s">
        <v>137</v>
      </c>
      <c r="L2" s="148"/>
      <c r="M2" s="148"/>
      <c r="N2" s="148"/>
      <c r="O2" s="1"/>
      <c r="P2" s="1"/>
    </row>
    <row r="3" spans="1:18" s="147" customFormat="1" ht="18.75" x14ac:dyDescent="0.25">
      <c r="A3" s="149"/>
      <c r="B3" s="149"/>
      <c r="C3" s="150"/>
      <c r="D3" s="150"/>
      <c r="E3" s="150"/>
      <c r="F3" s="150"/>
      <c r="G3" s="148"/>
      <c r="H3" s="148"/>
      <c r="I3" s="148"/>
      <c r="J3" s="148"/>
      <c r="K3" s="148" t="s">
        <v>140</v>
      </c>
      <c r="L3" s="148"/>
      <c r="M3" s="148"/>
      <c r="N3" s="148"/>
      <c r="O3" s="1"/>
      <c r="P3" s="1"/>
    </row>
    <row r="4" spans="1:18" s="147" customFormat="1" ht="15.75" x14ac:dyDescent="0.25">
      <c r="A4" s="149"/>
      <c r="B4" s="149"/>
      <c r="C4" s="150"/>
      <c r="D4" s="150"/>
      <c r="E4" s="150"/>
      <c r="F4" s="150"/>
      <c r="G4" s="148"/>
      <c r="H4" s="148"/>
      <c r="I4" s="148"/>
      <c r="J4" s="148"/>
      <c r="K4" s="148"/>
      <c r="L4" s="148"/>
      <c r="M4" s="148"/>
      <c r="N4" s="148"/>
      <c r="O4" s="1"/>
      <c r="P4" s="1"/>
    </row>
    <row r="5" spans="1:18" s="147" customFormat="1" ht="15.75" x14ac:dyDescent="0.25">
      <c r="A5" s="149"/>
      <c r="B5" s="149"/>
      <c r="C5" s="150"/>
      <c r="D5" s="150"/>
      <c r="E5" s="150"/>
      <c r="F5" s="150"/>
      <c r="G5" s="148"/>
      <c r="H5" s="148"/>
      <c r="I5" s="148"/>
      <c r="J5" s="148"/>
      <c r="K5" s="148"/>
      <c r="L5" s="148"/>
      <c r="M5" s="148"/>
      <c r="N5" s="148"/>
      <c r="O5" s="1"/>
      <c r="P5" s="1"/>
    </row>
    <row r="6" spans="1:18" x14ac:dyDescent="0.2">
      <c r="A6" s="1"/>
      <c r="B6" s="1"/>
      <c r="C6" s="1"/>
      <c r="D6" s="165"/>
      <c r="E6" s="166"/>
      <c r="F6" s="166"/>
      <c r="G6" s="166"/>
      <c r="H6" s="166"/>
      <c r="I6" s="166"/>
      <c r="J6" s="166"/>
      <c r="K6" s="166"/>
      <c r="L6" s="166"/>
      <c r="M6" s="101" t="s">
        <v>76</v>
      </c>
      <c r="N6" s="131"/>
      <c r="O6" s="162">
        <v>42573</v>
      </c>
      <c r="P6" s="163"/>
    </row>
    <row r="7" spans="1:18" ht="15.75" customHeight="1" x14ac:dyDescent="0.25">
      <c r="A7" s="1"/>
      <c r="B7" s="1"/>
      <c r="C7" s="1"/>
      <c r="D7" s="168"/>
      <c r="E7" s="168"/>
      <c r="F7" s="168"/>
      <c r="G7" s="168"/>
      <c r="H7" s="168"/>
      <c r="I7" s="168"/>
      <c r="J7" s="168"/>
      <c r="K7" s="168"/>
      <c r="L7" s="168"/>
      <c r="M7" s="83"/>
      <c r="N7" s="3"/>
      <c r="O7" s="1"/>
      <c r="P7" s="1"/>
    </row>
    <row r="8" spans="1:18" ht="14.25" x14ac:dyDescent="0.2">
      <c r="A8" s="170" t="s">
        <v>0</v>
      </c>
      <c r="B8" s="170"/>
      <c r="C8" s="170"/>
      <c r="D8" s="5"/>
      <c r="E8" s="5"/>
      <c r="F8" s="170" t="s">
        <v>1</v>
      </c>
      <c r="G8" s="170"/>
      <c r="H8" s="4" t="s">
        <v>3</v>
      </c>
      <c r="I8" s="170" t="s">
        <v>2</v>
      </c>
      <c r="J8" s="170"/>
      <c r="K8" s="4"/>
      <c r="L8" s="167" t="s">
        <v>37</v>
      </c>
      <c r="M8" s="167"/>
      <c r="N8" s="167"/>
      <c r="O8" s="6"/>
      <c r="P8" s="4" t="s">
        <v>3</v>
      </c>
    </row>
    <row r="9" spans="1:18" ht="14.25" x14ac:dyDescent="0.2">
      <c r="A9" s="7"/>
      <c r="B9" s="7"/>
      <c r="C9" s="7"/>
      <c r="D9" s="7"/>
      <c r="E9" s="7"/>
      <c r="F9" s="7"/>
      <c r="G9" s="7"/>
      <c r="H9" s="8" t="s">
        <v>71</v>
      </c>
      <c r="I9" s="171" t="s">
        <v>4</v>
      </c>
      <c r="J9" s="171"/>
      <c r="K9" s="8" t="s">
        <v>68</v>
      </c>
      <c r="L9" s="172" t="s">
        <v>59</v>
      </c>
      <c r="M9" s="172"/>
      <c r="N9" s="172"/>
      <c r="O9" s="9"/>
      <c r="P9" s="8" t="s">
        <v>5</v>
      </c>
    </row>
    <row r="10" spans="1:18" x14ac:dyDescent="0.2">
      <c r="A10" s="10"/>
      <c r="B10" s="10"/>
      <c r="C10" s="10"/>
      <c r="D10" s="10"/>
      <c r="E10" s="10"/>
      <c r="F10" s="10"/>
      <c r="G10" s="10"/>
      <c r="H10" s="100" t="s">
        <v>72</v>
      </c>
      <c r="I10" s="10"/>
      <c r="J10" s="10"/>
      <c r="K10" s="18">
        <v>5</v>
      </c>
      <c r="L10" s="11">
        <v>8</v>
      </c>
      <c r="M10" s="11">
        <v>12</v>
      </c>
      <c r="N10" s="11">
        <v>16</v>
      </c>
      <c r="O10" s="10"/>
      <c r="P10" s="90">
        <v>16</v>
      </c>
    </row>
    <row r="11" spans="1:18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2"/>
      <c r="M11" s="12"/>
      <c r="N11" s="12"/>
      <c r="O11" s="1"/>
      <c r="P11" s="1"/>
    </row>
    <row r="12" spans="1:18" ht="14.25" x14ac:dyDescent="0.2">
      <c r="A12" s="13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1"/>
      <c r="P12" s="1"/>
    </row>
    <row r="13" spans="1:18" x14ac:dyDescent="0.2">
      <c r="A13" s="1"/>
      <c r="B13" s="152" t="s">
        <v>138</v>
      </c>
      <c r="C13" s="1"/>
      <c r="D13" s="1"/>
      <c r="E13" s="1"/>
      <c r="F13" s="95">
        <v>0.7</v>
      </c>
      <c r="G13" s="1" t="s">
        <v>6</v>
      </c>
      <c r="H13" s="1"/>
      <c r="I13" s="96">
        <v>90</v>
      </c>
      <c r="J13" s="1" t="s">
        <v>7</v>
      </c>
      <c r="K13" s="67">
        <f>+K10*$F$13*$I$13</f>
        <v>315</v>
      </c>
      <c r="L13" s="67">
        <f>+L10*$F$13*$I$13</f>
        <v>503.99999999999994</v>
      </c>
      <c r="M13" s="67">
        <f>+M10*$F$13*$I$13</f>
        <v>755.99999999999989</v>
      </c>
      <c r="N13" s="67">
        <f>+N10*$F$13*$I$13</f>
        <v>1007.9999999999999</v>
      </c>
      <c r="O13" s="1"/>
      <c r="P13" s="91">
        <f>+P10*$F$13*$I$13</f>
        <v>1007.9999999999999</v>
      </c>
    </row>
    <row r="14" spans="1:18" x14ac:dyDescent="0.2">
      <c r="A14" s="1"/>
      <c r="B14" s="152" t="s">
        <v>139</v>
      </c>
      <c r="C14" s="1"/>
      <c r="D14" s="1"/>
      <c r="E14" s="1"/>
      <c r="F14" s="95">
        <v>0.3</v>
      </c>
      <c r="G14" s="1" t="s">
        <v>6</v>
      </c>
      <c r="H14" s="1"/>
      <c r="I14" s="96">
        <v>70</v>
      </c>
      <c r="J14" s="1" t="s">
        <v>7</v>
      </c>
      <c r="K14" s="68">
        <f>+K10*$I$14*$F$14</f>
        <v>105</v>
      </c>
      <c r="L14" s="68">
        <f>+L10*$I$14*$F$14</f>
        <v>168</v>
      </c>
      <c r="M14" s="68">
        <f>+M10*$I$14*$F$14</f>
        <v>252</v>
      </c>
      <c r="N14" s="68">
        <f>+N10*$I$14*$F$14</f>
        <v>336</v>
      </c>
      <c r="O14" s="1"/>
      <c r="P14" s="92">
        <f>+P10*$I$14*$F$14</f>
        <v>336</v>
      </c>
    </row>
    <row r="15" spans="1:18" x14ac:dyDescent="0.2">
      <c r="A15" s="1"/>
      <c r="B15" s="1" t="s">
        <v>8</v>
      </c>
      <c r="C15" s="1"/>
      <c r="D15" s="1"/>
      <c r="E15" s="1"/>
      <c r="F15" s="1"/>
      <c r="G15" s="1"/>
      <c r="H15" s="1"/>
      <c r="I15" s="14"/>
      <c r="J15" s="1"/>
      <c r="K15" s="67">
        <f>+K13+K14</f>
        <v>420</v>
      </c>
      <c r="L15" s="67">
        <f>+L13+L14</f>
        <v>672</v>
      </c>
      <c r="M15" s="67">
        <f>+M13+M14</f>
        <v>1007.9999999999999</v>
      </c>
      <c r="N15" s="67">
        <f>+N13+N14</f>
        <v>1344</v>
      </c>
      <c r="O15" s="1"/>
      <c r="P15" s="91">
        <f>+P13+P14</f>
        <v>1344</v>
      </c>
      <c r="R15" s="105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67"/>
      <c r="L16" s="67"/>
      <c r="M16" s="67"/>
      <c r="N16" s="67"/>
      <c r="O16" s="1"/>
      <c r="P16" s="67"/>
    </row>
    <row r="17" spans="1:17" x14ac:dyDescent="0.2">
      <c r="A17" s="13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67"/>
      <c r="L17" s="67"/>
      <c r="M17" s="67"/>
      <c r="N17" s="67"/>
      <c r="O17" s="1"/>
      <c r="P17" s="67"/>
    </row>
    <row r="18" spans="1:17" ht="14.25" x14ac:dyDescent="0.2">
      <c r="A18" s="1"/>
      <c r="B18" s="1" t="s">
        <v>39</v>
      </c>
      <c r="C18" s="1"/>
      <c r="D18" s="1"/>
      <c r="E18" s="1"/>
      <c r="F18" s="97">
        <v>15</v>
      </c>
      <c r="G18" s="1" t="s">
        <v>10</v>
      </c>
      <c r="H18" s="1"/>
      <c r="I18" s="133">
        <v>5.75</v>
      </c>
      <c r="J18" s="1" t="s">
        <v>11</v>
      </c>
      <c r="K18" s="67">
        <f>($F$18*$I$18)/4</f>
        <v>21.5625</v>
      </c>
      <c r="L18" s="67">
        <f>($F$18*$I$18)/4</f>
        <v>21.5625</v>
      </c>
      <c r="M18" s="67">
        <f>($F$18*$I$18)/4</f>
        <v>21.5625</v>
      </c>
      <c r="N18" s="67">
        <f>($F$18*$I$18)/4</f>
        <v>21.5625</v>
      </c>
      <c r="O18" s="1"/>
      <c r="P18" s="91">
        <f>($F$18*$I$18)/4</f>
        <v>21.5625</v>
      </c>
      <c r="Q18" s="103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67"/>
      <c r="L19" s="67"/>
      <c r="M19" s="67"/>
      <c r="N19" s="67"/>
      <c r="O19" s="1"/>
      <c r="P19" s="93"/>
    </row>
    <row r="20" spans="1:17" ht="14.25" x14ac:dyDescent="0.2">
      <c r="A20" s="1"/>
      <c r="B20" s="1" t="s">
        <v>40</v>
      </c>
      <c r="C20" s="1"/>
      <c r="D20" s="1"/>
      <c r="E20" s="1"/>
      <c r="F20" s="1"/>
      <c r="G20" s="1"/>
      <c r="H20" s="1"/>
      <c r="I20" s="1"/>
      <c r="J20" s="1"/>
      <c r="K20" s="67"/>
      <c r="L20" s="67"/>
      <c r="M20" s="67"/>
      <c r="N20" s="67"/>
      <c r="O20" s="1"/>
      <c r="P20" s="93"/>
    </row>
    <row r="21" spans="1:17" ht="15.75" x14ac:dyDescent="0.3">
      <c r="A21" s="1"/>
      <c r="B21" s="1"/>
      <c r="C21" s="1" t="s">
        <v>41</v>
      </c>
      <c r="D21" s="1"/>
      <c r="E21" s="1">
        <v>50</v>
      </c>
      <c r="F21" s="1">
        <v>85</v>
      </c>
      <c r="G21" s="1">
        <v>110</v>
      </c>
      <c r="H21" s="97">
        <v>110</v>
      </c>
      <c r="I21" s="134">
        <f>F70/1040</f>
        <v>0.46153846153846156</v>
      </c>
      <c r="J21" s="1" t="s">
        <v>11</v>
      </c>
      <c r="K21" s="67">
        <f>+$I$21*E21</f>
        <v>23.076923076923077</v>
      </c>
      <c r="L21" s="67">
        <f>+$I$21*E21</f>
        <v>23.076923076923077</v>
      </c>
      <c r="M21" s="67">
        <f>+$I$21*F21</f>
        <v>39.230769230769234</v>
      </c>
      <c r="N21" s="67">
        <f>+$I$21*G21</f>
        <v>50.769230769230774</v>
      </c>
      <c r="O21" s="1"/>
      <c r="P21" s="91">
        <f>+$I$21*H21</f>
        <v>50.769230769230774</v>
      </c>
    </row>
    <row r="22" spans="1:17" ht="15.75" x14ac:dyDescent="0.3">
      <c r="A22" s="1"/>
      <c r="B22" s="1"/>
      <c r="C22" s="1" t="s">
        <v>42</v>
      </c>
      <c r="D22" s="1"/>
      <c r="E22" s="1">
        <v>220</v>
      </c>
      <c r="F22" s="1">
        <v>300</v>
      </c>
      <c r="G22" s="1">
        <v>300</v>
      </c>
      <c r="H22" s="97">
        <v>300</v>
      </c>
      <c r="I22" s="134">
        <f>J70/1200</f>
        <v>0.27500000000000002</v>
      </c>
      <c r="J22" s="1" t="s">
        <v>11</v>
      </c>
      <c r="K22" s="67">
        <f>+$I$22*E22</f>
        <v>60.500000000000007</v>
      </c>
      <c r="L22" s="67">
        <f>+$I$22*E22</f>
        <v>60.500000000000007</v>
      </c>
      <c r="M22" s="67">
        <f>+$I$22*F22</f>
        <v>82.5</v>
      </c>
      <c r="N22" s="67">
        <f>+$I$22*G22</f>
        <v>82.5</v>
      </c>
      <c r="O22" s="1"/>
      <c r="P22" s="91">
        <f>+$I$22*H22</f>
        <v>82.5</v>
      </c>
    </row>
    <row r="23" spans="1:17" x14ac:dyDescent="0.2">
      <c r="A23" s="1"/>
      <c r="B23" s="1" t="s">
        <v>12</v>
      </c>
      <c r="C23" s="1"/>
      <c r="D23" s="1"/>
      <c r="E23" s="1"/>
      <c r="F23" s="97">
        <v>0.5</v>
      </c>
      <c r="G23" s="1"/>
      <c r="H23" s="1"/>
      <c r="I23" s="133">
        <v>25</v>
      </c>
      <c r="J23" s="1" t="s">
        <v>7</v>
      </c>
      <c r="K23" s="67">
        <f>+$F$23*$I$23</f>
        <v>12.5</v>
      </c>
      <c r="L23" s="67">
        <f>+$F$23*$I$23</f>
        <v>12.5</v>
      </c>
      <c r="M23" s="67">
        <f>+$F$23*$I$23</f>
        <v>12.5</v>
      </c>
      <c r="N23" s="67">
        <f>+$F$23*$I$23</f>
        <v>12.5</v>
      </c>
      <c r="O23" s="1"/>
      <c r="P23" s="91">
        <f>+$F$23*$I$23</f>
        <v>12.5</v>
      </c>
    </row>
    <row r="24" spans="1:17" ht="14.25" x14ac:dyDescent="0.2">
      <c r="A24" s="1"/>
      <c r="B24" s="1" t="s">
        <v>43</v>
      </c>
      <c r="C24" s="1"/>
      <c r="D24" s="1"/>
      <c r="E24" s="1"/>
      <c r="F24" s="1"/>
      <c r="G24" s="1"/>
      <c r="H24" s="1"/>
      <c r="I24" s="1"/>
      <c r="J24" s="1"/>
      <c r="K24" s="67">
        <v>20.61</v>
      </c>
      <c r="L24" s="67">
        <v>8.8000000000000007</v>
      </c>
      <c r="M24" s="67">
        <v>8.8000000000000007</v>
      </c>
      <c r="N24" s="67">
        <v>8.8000000000000007</v>
      </c>
      <c r="O24" s="67">
        <v>14.67</v>
      </c>
      <c r="P24" s="140">
        <v>8.8000000000000007</v>
      </c>
      <c r="Q24" s="103"/>
    </row>
    <row r="25" spans="1:17" ht="14.25" x14ac:dyDescent="0.2">
      <c r="A25" s="1"/>
      <c r="B25" s="1" t="s">
        <v>44</v>
      </c>
      <c r="C25" s="1"/>
      <c r="D25" s="1"/>
      <c r="E25" s="1"/>
      <c r="F25" s="1"/>
      <c r="G25" s="1"/>
      <c r="H25" s="1"/>
      <c r="I25" s="1"/>
      <c r="J25" s="1"/>
      <c r="K25" s="67">
        <f>0.5*(+$L$111)</f>
        <v>9.3092999999999986</v>
      </c>
      <c r="L25" s="67">
        <f>+$L$111</f>
        <v>18.618599999999997</v>
      </c>
      <c r="M25" s="67">
        <f>+$L$111</f>
        <v>18.618599999999997</v>
      </c>
      <c r="N25" s="67">
        <f>+$L$111</f>
        <v>18.618599999999997</v>
      </c>
      <c r="O25" s="1"/>
      <c r="P25" s="91">
        <f>+$L$111</f>
        <v>18.618599999999997</v>
      </c>
    </row>
    <row r="26" spans="1:17" ht="14.25" x14ac:dyDescent="0.2">
      <c r="A26" s="1"/>
      <c r="B26" s="1" t="s">
        <v>45</v>
      </c>
      <c r="C26" s="1"/>
      <c r="D26" s="1"/>
      <c r="E26" s="1"/>
      <c r="F26" s="1"/>
      <c r="G26" s="1"/>
      <c r="H26" s="1"/>
      <c r="I26" s="1"/>
      <c r="J26" s="1"/>
      <c r="K26" s="67">
        <f>0.5*($N$111)</f>
        <v>16.878312587807734</v>
      </c>
      <c r="L26" s="67">
        <f>$N$111</f>
        <v>33.756625175615468</v>
      </c>
      <c r="M26" s="67">
        <f>$N$111</f>
        <v>33.756625175615468</v>
      </c>
      <c r="N26" s="67">
        <f>$N$111</f>
        <v>33.756625175615468</v>
      </c>
      <c r="O26" s="67">
        <f>$N$111</f>
        <v>33.756625175615468</v>
      </c>
      <c r="P26" s="91">
        <f>$N$111</f>
        <v>33.756625175615468</v>
      </c>
    </row>
    <row r="27" spans="1:17" ht="14.25" x14ac:dyDescent="0.2">
      <c r="A27" s="1"/>
      <c r="B27" s="1" t="s">
        <v>46</v>
      </c>
      <c r="C27" s="1"/>
      <c r="D27" s="1"/>
      <c r="E27" s="1"/>
      <c r="F27" s="1"/>
      <c r="G27" s="1"/>
      <c r="H27" s="1"/>
      <c r="I27" s="1"/>
      <c r="J27" s="1"/>
      <c r="K27" s="67">
        <v>8</v>
      </c>
      <c r="L27" s="67">
        <v>8</v>
      </c>
      <c r="M27" s="67">
        <v>8.5</v>
      </c>
      <c r="N27" s="67">
        <v>9</v>
      </c>
      <c r="O27" s="1"/>
      <c r="P27" s="99">
        <v>9</v>
      </c>
    </row>
    <row r="28" spans="1:17" ht="14.25" x14ac:dyDescent="0.2">
      <c r="A28" s="1"/>
      <c r="B28" s="1" t="s">
        <v>128</v>
      </c>
      <c r="C28" s="1"/>
      <c r="D28" s="1"/>
      <c r="E28" s="1"/>
      <c r="F28" s="97">
        <v>6</v>
      </c>
      <c r="G28" s="1" t="s">
        <v>13</v>
      </c>
      <c r="H28" s="1"/>
      <c r="I28" s="98">
        <v>4.4999999999999998E-2</v>
      </c>
      <c r="J28" s="1"/>
      <c r="K28" s="67">
        <f>SUM(K18:K27)*I28*(F28/12)</f>
        <v>3.879833302456444</v>
      </c>
      <c r="L28" s="67">
        <f>SUM(L18:L27)*I28*(F28/12)</f>
        <v>4.203329585682118</v>
      </c>
      <c r="M28" s="67">
        <f>SUM(M18:M27)*I28*(F28/12)</f>
        <v>5.0730411241436562</v>
      </c>
      <c r="N28" s="67">
        <f>SUM(N18:N27)*I28*(F28/12)</f>
        <v>5.3439065087590407</v>
      </c>
      <c r="O28" s="1"/>
      <c r="P28" s="91">
        <f>SUM(P18:P27)*I28*(F28/12)</f>
        <v>5.3439065087590407</v>
      </c>
    </row>
    <row r="29" spans="1:17" ht="14.25" x14ac:dyDescent="0.2">
      <c r="A29" s="1"/>
      <c r="B29" s="1" t="s">
        <v>61</v>
      </c>
      <c r="C29" s="1"/>
      <c r="D29" s="1"/>
      <c r="E29" s="1"/>
      <c r="F29" s="1"/>
      <c r="G29" s="1"/>
      <c r="H29" s="1"/>
      <c r="I29" s="15"/>
      <c r="J29" s="1"/>
      <c r="K29" s="67">
        <v>14</v>
      </c>
      <c r="L29" s="67">
        <v>14</v>
      </c>
      <c r="M29" s="67">
        <v>14</v>
      </c>
      <c r="N29" s="67">
        <v>14</v>
      </c>
      <c r="O29" s="67">
        <v>12.72</v>
      </c>
      <c r="P29" s="99">
        <v>14</v>
      </c>
    </row>
    <row r="30" spans="1:17" ht="14.25" x14ac:dyDescent="0.2">
      <c r="A30" s="1"/>
      <c r="B30" s="1" t="s">
        <v>102</v>
      </c>
      <c r="C30" s="1"/>
      <c r="D30" s="1"/>
      <c r="E30" s="1"/>
      <c r="F30" s="143">
        <v>2.25</v>
      </c>
      <c r="G30" s="144" t="s">
        <v>103</v>
      </c>
      <c r="H30" s="1"/>
      <c r="I30" s="145">
        <v>20</v>
      </c>
      <c r="J30" s="1" t="s">
        <v>104</v>
      </c>
      <c r="K30" s="3">
        <f t="shared" ref="K30:P30" si="0">(((($I$30/6)*$F$30)/5)*K10)+(((($I$30/6)*$F$30)/5)*K10)*0.1</f>
        <v>8.25</v>
      </c>
      <c r="L30" s="3">
        <f t="shared" si="0"/>
        <v>13.2</v>
      </c>
      <c r="M30" s="3">
        <f t="shared" si="0"/>
        <v>19.8</v>
      </c>
      <c r="N30" s="3">
        <f t="shared" si="0"/>
        <v>26.4</v>
      </c>
      <c r="O30" s="3">
        <f t="shared" si="0"/>
        <v>0</v>
      </c>
      <c r="P30" s="3">
        <f t="shared" si="0"/>
        <v>26.4</v>
      </c>
    </row>
    <row r="31" spans="1:17" ht="14.25" x14ac:dyDescent="0.2">
      <c r="A31" s="1"/>
      <c r="B31" s="1" t="s">
        <v>62</v>
      </c>
      <c r="C31" s="1"/>
      <c r="D31" s="1"/>
      <c r="E31" s="1"/>
      <c r="F31" s="1"/>
      <c r="G31" s="1"/>
      <c r="H31" s="1"/>
      <c r="I31" s="1"/>
      <c r="J31" s="1"/>
      <c r="K31" s="67">
        <v>0</v>
      </c>
      <c r="L31" s="67">
        <v>0</v>
      </c>
      <c r="M31" s="67">
        <v>0</v>
      </c>
      <c r="N31" s="67">
        <v>0</v>
      </c>
      <c r="O31" s="1"/>
      <c r="P31" s="99">
        <v>0</v>
      </c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67"/>
      <c r="L32" s="69"/>
      <c r="M32" s="69"/>
      <c r="N32" s="69"/>
      <c r="O32" s="16"/>
      <c r="P32" s="94"/>
    </row>
    <row r="33" spans="1:16" x14ac:dyDescent="0.2">
      <c r="A33" s="13" t="s">
        <v>14</v>
      </c>
      <c r="B33" s="1"/>
      <c r="C33" s="1"/>
      <c r="D33" s="1"/>
      <c r="E33" s="1"/>
      <c r="F33" s="17" t="s">
        <v>15</v>
      </c>
      <c r="G33" s="1"/>
      <c r="H33" s="1"/>
      <c r="I33" s="1"/>
      <c r="J33" s="1"/>
      <c r="K33" s="70">
        <f>SUM(K18:K32)</f>
        <v>198.56686896718728</v>
      </c>
      <c r="L33" s="67">
        <f>SUM(L18:L32)</f>
        <v>218.21797783822069</v>
      </c>
      <c r="M33" s="67">
        <f>SUM(M18:M32)</f>
        <v>264.34153553052835</v>
      </c>
      <c r="N33" s="67">
        <f>SUM(N18:N32)</f>
        <v>283.25086245360524</v>
      </c>
      <c r="O33" s="1"/>
      <c r="P33" s="91">
        <f>SUM(P18:P32)</f>
        <v>283.25086245360524</v>
      </c>
    </row>
    <row r="34" spans="1:16" x14ac:dyDescent="0.2">
      <c r="A34" s="1"/>
      <c r="B34" s="1"/>
      <c r="C34" s="1"/>
      <c r="D34" s="1"/>
      <c r="E34" s="1"/>
      <c r="F34" s="17" t="s">
        <v>16</v>
      </c>
      <c r="G34" s="1"/>
      <c r="H34" s="1"/>
      <c r="I34" s="1"/>
      <c r="J34" s="1"/>
      <c r="K34" s="67">
        <f>+K33/K10</f>
        <v>39.713373793437455</v>
      </c>
      <c r="L34" s="67">
        <f>+L33/L10</f>
        <v>27.277247229777586</v>
      </c>
      <c r="M34" s="67">
        <f>+M33/M10</f>
        <v>22.028461294210697</v>
      </c>
      <c r="N34" s="67">
        <f>+N33/N10</f>
        <v>17.703178903350327</v>
      </c>
      <c r="O34" s="1"/>
      <c r="P34" s="91">
        <f>+P33/P10</f>
        <v>17.703178903350327</v>
      </c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67"/>
      <c r="L35" s="67"/>
      <c r="M35" s="67"/>
      <c r="N35" s="67"/>
      <c r="O35" s="1"/>
      <c r="P35" s="93"/>
    </row>
    <row r="36" spans="1:16" x14ac:dyDescent="0.2">
      <c r="A36" s="13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67"/>
      <c r="L36" s="67"/>
      <c r="M36" s="67"/>
      <c r="N36" s="67"/>
      <c r="O36" s="1"/>
      <c r="P36" s="93"/>
    </row>
    <row r="37" spans="1:16" ht="14.25" x14ac:dyDescent="0.2">
      <c r="A37" s="1"/>
      <c r="B37" s="1" t="s">
        <v>63</v>
      </c>
      <c r="C37" s="1"/>
      <c r="D37" s="1"/>
      <c r="E37" s="1"/>
      <c r="F37" s="97">
        <v>4</v>
      </c>
      <c r="G37" s="1" t="s">
        <v>18</v>
      </c>
      <c r="H37" s="1"/>
      <c r="I37" s="133">
        <v>15</v>
      </c>
      <c r="J37" s="1" t="s">
        <v>19</v>
      </c>
      <c r="K37" s="67">
        <f>+$I$37*$F$37</f>
        <v>60</v>
      </c>
      <c r="L37" s="67">
        <f>+$I$37*$F$37</f>
        <v>60</v>
      </c>
      <c r="M37" s="67">
        <f>+$I$37*$F$37</f>
        <v>60</v>
      </c>
      <c r="N37" s="67">
        <f>+$I$37*$F$37</f>
        <v>60</v>
      </c>
      <c r="O37" s="1"/>
      <c r="P37" s="91">
        <f>+$I$37*$F$37</f>
        <v>60</v>
      </c>
    </row>
    <row r="38" spans="1:16" x14ac:dyDescent="0.2">
      <c r="A38" s="1"/>
      <c r="B38" s="1" t="s">
        <v>20</v>
      </c>
      <c r="C38" s="1"/>
      <c r="D38" s="1"/>
      <c r="E38" s="1"/>
      <c r="F38" s="95">
        <v>0.05</v>
      </c>
      <c r="G38" s="1" t="s">
        <v>21</v>
      </c>
      <c r="H38" s="1"/>
      <c r="I38" s="1"/>
      <c r="J38" s="1"/>
      <c r="K38" s="67">
        <f>$F$38*K15</f>
        <v>21</v>
      </c>
      <c r="L38" s="67">
        <f>$F$38*L15</f>
        <v>33.6</v>
      </c>
      <c r="M38" s="67">
        <f>$F$38*M15</f>
        <v>50.4</v>
      </c>
      <c r="N38" s="67">
        <f>$F$38*N15</f>
        <v>67.2</v>
      </c>
      <c r="O38" s="1"/>
      <c r="P38" s="91">
        <f>$F$38*P15</f>
        <v>67.2</v>
      </c>
    </row>
    <row r="39" spans="1:16" ht="14.25" x14ac:dyDescent="0.2">
      <c r="A39" s="1"/>
      <c r="B39" s="1" t="s">
        <v>64</v>
      </c>
      <c r="C39" s="1"/>
      <c r="D39" s="1"/>
      <c r="E39" s="1"/>
      <c r="F39" s="1"/>
      <c r="G39" s="1"/>
      <c r="H39" s="1"/>
      <c r="I39" s="1"/>
      <c r="J39" s="1"/>
      <c r="K39" s="67">
        <f>0.5*(+$J$111)</f>
        <v>45.519439843750007</v>
      </c>
      <c r="L39" s="67">
        <f>+$J$111</f>
        <v>91.038879687500014</v>
      </c>
      <c r="M39" s="67">
        <f>+$J$111</f>
        <v>91.038879687500014</v>
      </c>
      <c r="N39" s="67">
        <f>+$J$111</f>
        <v>91.038879687500014</v>
      </c>
      <c r="O39" s="1"/>
      <c r="P39" s="91">
        <f>+$J$111</f>
        <v>91.038879687500014</v>
      </c>
    </row>
    <row r="40" spans="1:16" ht="14.25" x14ac:dyDescent="0.2">
      <c r="A40" s="1"/>
      <c r="B40" s="1" t="s">
        <v>65</v>
      </c>
      <c r="C40" s="1"/>
      <c r="D40" s="1"/>
      <c r="E40" s="1"/>
      <c r="F40" s="1"/>
      <c r="G40" s="1"/>
      <c r="H40" s="1"/>
      <c r="I40" s="1"/>
      <c r="J40" s="1"/>
      <c r="K40" s="67">
        <v>15.6</v>
      </c>
      <c r="L40" s="67">
        <v>15.6</v>
      </c>
      <c r="M40" s="67">
        <v>15.6</v>
      </c>
      <c r="N40" s="67">
        <v>14</v>
      </c>
      <c r="O40" s="67">
        <v>14</v>
      </c>
      <c r="P40" s="67">
        <v>15.6</v>
      </c>
    </row>
    <row r="41" spans="1:16" ht="14.25" x14ac:dyDescent="0.2">
      <c r="A41" s="1"/>
      <c r="B41" s="1" t="s">
        <v>66</v>
      </c>
      <c r="C41" s="1"/>
      <c r="D41" s="1"/>
      <c r="E41" s="1"/>
      <c r="F41" s="1"/>
      <c r="G41" s="1"/>
      <c r="H41" s="1"/>
      <c r="I41" s="1"/>
      <c r="J41" s="1"/>
      <c r="K41" s="67">
        <v>187</v>
      </c>
      <c r="L41" s="67">
        <v>141</v>
      </c>
      <c r="M41" s="67">
        <v>187</v>
      </c>
      <c r="N41" s="67">
        <v>239</v>
      </c>
      <c r="O41" s="102">
        <v>259</v>
      </c>
      <c r="P41" s="99">
        <v>239</v>
      </c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67"/>
      <c r="L42" s="69"/>
      <c r="M42" s="69"/>
      <c r="N42" s="69"/>
      <c r="O42" s="16"/>
      <c r="P42" s="94"/>
    </row>
    <row r="43" spans="1:16" x14ac:dyDescent="0.2">
      <c r="A43" s="13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70">
        <f>SUM(K37:K42)</f>
        <v>329.11943984375</v>
      </c>
      <c r="L43" s="67">
        <f>SUM(L37:L42)</f>
        <v>341.2388796875</v>
      </c>
      <c r="M43" s="67">
        <f>SUM(M37:M42)</f>
        <v>404.03887968750001</v>
      </c>
      <c r="N43" s="67">
        <f>SUM(N37:N42)</f>
        <v>471.2388796875</v>
      </c>
      <c r="O43" s="1"/>
      <c r="P43" s="91">
        <f>SUM(P37:P42)</f>
        <v>472.83887968750003</v>
      </c>
    </row>
    <row r="44" spans="1: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67"/>
      <c r="L44" s="67"/>
      <c r="M44" s="67"/>
      <c r="N44" s="67"/>
      <c r="O44" s="1"/>
      <c r="P44" s="93"/>
    </row>
    <row r="45" spans="1:16" x14ac:dyDescent="0.2">
      <c r="A45" s="13" t="s">
        <v>23</v>
      </c>
      <c r="B45" s="1"/>
      <c r="C45" s="1"/>
      <c r="D45" s="1"/>
      <c r="E45" s="1"/>
      <c r="F45" s="17" t="s">
        <v>15</v>
      </c>
      <c r="G45" s="1"/>
      <c r="H45" s="1"/>
      <c r="I45" s="1"/>
      <c r="J45" s="1"/>
      <c r="K45" s="67">
        <f>+K33+K43</f>
        <v>527.68630881093725</v>
      </c>
      <c r="L45" s="67">
        <f>+L33+L43</f>
        <v>559.45685752572069</v>
      </c>
      <c r="M45" s="67">
        <f>+M33+M43</f>
        <v>668.38041521802836</v>
      </c>
      <c r="N45" s="67">
        <f>+N33+N43</f>
        <v>754.48974214110524</v>
      </c>
      <c r="O45" s="1"/>
      <c r="P45" s="91">
        <f>+P33+P43</f>
        <v>756.08974214110526</v>
      </c>
    </row>
    <row r="46" spans="1:16" x14ac:dyDescent="0.2">
      <c r="A46" s="13"/>
      <c r="B46" s="1"/>
      <c r="C46" s="1"/>
      <c r="D46" s="1"/>
      <c r="E46" s="1"/>
      <c r="F46" s="17" t="s">
        <v>16</v>
      </c>
      <c r="G46" s="1"/>
      <c r="H46" s="1"/>
      <c r="I46" s="1"/>
      <c r="J46" s="1"/>
      <c r="K46" s="67">
        <f>+K45/K10</f>
        <v>105.53726176218746</v>
      </c>
      <c r="L46" s="67">
        <f>+L45/L10</f>
        <v>69.932107190715087</v>
      </c>
      <c r="M46" s="67">
        <f>+M45/M10</f>
        <v>55.698367934835694</v>
      </c>
      <c r="N46" s="67">
        <f>+N45/N10</f>
        <v>47.155608883819077</v>
      </c>
      <c r="O46" s="1"/>
      <c r="P46" s="91">
        <f>+P45/P10</f>
        <v>47.255608883819079</v>
      </c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67"/>
      <c r="L47" s="67"/>
      <c r="M47" s="67"/>
      <c r="N47" s="67"/>
      <c r="O47" s="1"/>
      <c r="P47" s="93"/>
    </row>
    <row r="48" spans="1:16" ht="14.25" x14ac:dyDescent="0.2">
      <c r="A48" s="13" t="s">
        <v>129</v>
      </c>
      <c r="B48" s="1"/>
      <c r="C48" s="1"/>
      <c r="D48" s="1"/>
      <c r="E48" s="1"/>
      <c r="F48" s="1"/>
      <c r="G48" s="1"/>
      <c r="H48" s="1"/>
      <c r="I48" s="1"/>
      <c r="J48" s="1"/>
      <c r="K48" s="67">
        <f t="shared" ref="K48:P48" si="1">K51+K37+K38</f>
        <v>-26.686308810937248</v>
      </c>
      <c r="L48" s="67">
        <f t="shared" si="1"/>
        <v>206.1431424742793</v>
      </c>
      <c r="M48" s="67">
        <f t="shared" si="1"/>
        <v>450.0195847819715</v>
      </c>
      <c r="N48" s="67">
        <f t="shared" si="1"/>
        <v>716.71025785889481</v>
      </c>
      <c r="O48" s="67">
        <f t="shared" si="1"/>
        <v>0</v>
      </c>
      <c r="P48" s="67">
        <f t="shared" si="1"/>
        <v>715.11025785889478</v>
      </c>
    </row>
    <row r="49" spans="1:16" x14ac:dyDescent="0.2">
      <c r="A49" s="7" t="s">
        <v>81</v>
      </c>
      <c r="B49" s="9"/>
      <c r="C49" s="9"/>
      <c r="D49" s="1"/>
      <c r="E49" s="1"/>
      <c r="F49" s="1"/>
      <c r="G49" s="1"/>
      <c r="H49" s="1"/>
      <c r="I49" s="1"/>
      <c r="J49" s="1"/>
      <c r="K49" s="67">
        <f t="shared" ref="K49:P49" si="2">+K51+K41</f>
        <v>79.313691189062752</v>
      </c>
      <c r="L49" s="67">
        <f t="shared" si="2"/>
        <v>253.54314247427931</v>
      </c>
      <c r="M49" s="67">
        <f t="shared" si="2"/>
        <v>526.61958478197153</v>
      </c>
      <c r="N49" s="67">
        <f t="shared" si="2"/>
        <v>828.51025785889476</v>
      </c>
      <c r="O49" s="67">
        <f t="shared" si="2"/>
        <v>259</v>
      </c>
      <c r="P49" s="67">
        <f t="shared" si="2"/>
        <v>826.91025785889474</v>
      </c>
    </row>
    <row r="50" spans="1:16" x14ac:dyDescent="0.2">
      <c r="A50" s="13" t="s">
        <v>24</v>
      </c>
      <c r="B50" s="1"/>
      <c r="C50" s="1"/>
      <c r="D50" s="1"/>
      <c r="E50" s="1"/>
      <c r="F50" s="1"/>
      <c r="G50" s="1"/>
      <c r="H50" s="1"/>
      <c r="I50" s="160"/>
      <c r="J50" s="1"/>
      <c r="K50" s="67">
        <f t="shared" ref="K50:P50" si="3">+K15-K33</f>
        <v>221.43313103281272</v>
      </c>
      <c r="L50" s="67">
        <f t="shared" si="3"/>
        <v>453.78202216177931</v>
      </c>
      <c r="M50" s="67">
        <f t="shared" si="3"/>
        <v>743.65846446947148</v>
      </c>
      <c r="N50" s="67">
        <f t="shared" si="3"/>
        <v>1060.7491375463946</v>
      </c>
      <c r="O50" s="67">
        <f t="shared" si="3"/>
        <v>0</v>
      </c>
      <c r="P50" s="67">
        <f t="shared" si="3"/>
        <v>1060.7491375463946</v>
      </c>
    </row>
    <row r="51" spans="1:16" x14ac:dyDescent="0.2">
      <c r="A51" s="7" t="s">
        <v>25</v>
      </c>
      <c r="B51" s="9"/>
      <c r="C51" s="9"/>
      <c r="D51" s="1"/>
      <c r="E51" s="1"/>
      <c r="F51" s="1"/>
      <c r="G51" s="1"/>
      <c r="H51" s="1"/>
      <c r="I51" s="1"/>
      <c r="J51" s="1"/>
      <c r="K51" s="3">
        <f t="shared" ref="K51:P51" si="4">K15-K45</f>
        <v>-107.68630881093725</v>
      </c>
      <c r="L51" s="3">
        <f t="shared" si="4"/>
        <v>112.54314247427931</v>
      </c>
      <c r="M51" s="3">
        <f t="shared" si="4"/>
        <v>339.61958478197153</v>
      </c>
      <c r="N51" s="3">
        <f t="shared" si="4"/>
        <v>589.51025785889476</v>
      </c>
      <c r="O51" s="3">
        <f t="shared" si="4"/>
        <v>0</v>
      </c>
      <c r="P51" s="3">
        <f t="shared" si="4"/>
        <v>587.91025785889474</v>
      </c>
    </row>
    <row r="52" spans="1:16" x14ac:dyDescent="0.2">
      <c r="A52" s="1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9"/>
      <c r="M52" s="19"/>
      <c r="N52" s="19"/>
      <c r="O52" s="10"/>
      <c r="P52" s="10"/>
    </row>
    <row r="53" spans="1:16" ht="14.2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20"/>
      <c r="M53" s="20"/>
      <c r="N53" s="20"/>
      <c r="O53" s="9"/>
      <c r="P53" s="9"/>
    </row>
    <row r="54" spans="1:16" ht="14.25" customHeight="1" x14ac:dyDescent="0.2">
      <c r="A54" s="29" t="s">
        <v>149</v>
      </c>
      <c r="B54" s="29"/>
      <c r="C54" s="9"/>
      <c r="D54" s="158"/>
      <c r="E54" s="9"/>
      <c r="F54" s="9"/>
      <c r="G54" s="9"/>
      <c r="H54" s="9"/>
      <c r="I54" s="9"/>
      <c r="J54" s="9"/>
      <c r="K54" s="9"/>
      <c r="L54" s="20"/>
      <c r="M54" s="20"/>
      <c r="N54" s="20"/>
      <c r="O54" s="9"/>
      <c r="P54" s="9"/>
    </row>
    <row r="55" spans="1:16" ht="14.25" customHeight="1" x14ac:dyDescent="0.2">
      <c r="B55" s="29" t="s">
        <v>78</v>
      </c>
      <c r="C55" s="9"/>
      <c r="D55" s="9"/>
      <c r="E55" s="9"/>
      <c r="F55" s="9"/>
      <c r="G55" s="9"/>
      <c r="H55" s="9"/>
      <c r="I55" s="9"/>
      <c r="J55" s="9"/>
      <c r="K55" s="9"/>
      <c r="L55" s="20"/>
      <c r="M55" s="20"/>
      <c r="N55" s="20"/>
      <c r="O55" s="9"/>
      <c r="P55" s="9"/>
    </row>
    <row r="56" spans="1:16" ht="14.25" customHeight="1" x14ac:dyDescent="0.2">
      <c r="A56" s="29" t="s">
        <v>115</v>
      </c>
      <c r="B56" s="29"/>
      <c r="C56" s="9"/>
      <c r="D56" s="9"/>
      <c r="E56" s="161"/>
      <c r="F56" s="9"/>
      <c r="G56" s="9"/>
      <c r="H56" s="9"/>
      <c r="I56" s="9"/>
      <c r="J56" s="9"/>
      <c r="K56" s="9"/>
      <c r="L56" s="20"/>
      <c r="M56" s="20"/>
      <c r="N56" s="20"/>
      <c r="O56" s="9"/>
      <c r="P56" s="9"/>
    </row>
    <row r="57" spans="1:16" ht="14.25" customHeight="1" x14ac:dyDescent="0.2">
      <c r="A57" s="29"/>
      <c r="B57" s="29" t="s">
        <v>79</v>
      </c>
      <c r="C57" s="9"/>
      <c r="D57" s="9"/>
      <c r="E57" s="9"/>
      <c r="F57" s="9"/>
      <c r="G57" s="9"/>
      <c r="H57" s="9"/>
      <c r="I57" s="9"/>
      <c r="J57" s="9"/>
      <c r="K57" s="9"/>
      <c r="L57" s="20"/>
      <c r="M57" s="20"/>
      <c r="N57" s="20"/>
      <c r="O57" s="9"/>
      <c r="P57" s="9"/>
    </row>
    <row r="58" spans="1:16" ht="14.25" customHeight="1" x14ac:dyDescent="0.2">
      <c r="A58" s="29" t="s">
        <v>80</v>
      </c>
      <c r="B58" s="29"/>
      <c r="C58" s="9"/>
      <c r="D58" s="159"/>
      <c r="E58" s="9"/>
      <c r="F58" s="9"/>
      <c r="G58" s="9"/>
      <c r="H58" s="9"/>
      <c r="I58" s="9"/>
      <c r="J58" s="9"/>
      <c r="K58" s="9"/>
      <c r="L58" s="20"/>
      <c r="M58" s="20"/>
      <c r="N58" s="20"/>
      <c r="O58" s="9"/>
      <c r="P58" s="9"/>
    </row>
    <row r="59" spans="1:16" ht="14.25" x14ac:dyDescent="0.2">
      <c r="A59" s="21">
        <v>1</v>
      </c>
      <c r="B59" s="1" t="s">
        <v>124</v>
      </c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1"/>
      <c r="P59" s="1"/>
    </row>
    <row r="60" spans="1:16" ht="14.25" x14ac:dyDescent="0.2">
      <c r="A60" s="21"/>
      <c r="B60" s="1"/>
      <c r="C60" s="1" t="s">
        <v>118</v>
      </c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1"/>
      <c r="P60" s="1"/>
    </row>
    <row r="61" spans="1:16" ht="14.25" x14ac:dyDescent="0.2">
      <c r="A61" s="21">
        <v>2</v>
      </c>
      <c r="B61" s="152" t="s">
        <v>142</v>
      </c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1"/>
      <c r="P61" s="1"/>
    </row>
    <row r="62" spans="1:16" x14ac:dyDescent="0.2">
      <c r="A62" s="1"/>
      <c r="C62" s="1" t="s">
        <v>110</v>
      </c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1"/>
      <c r="P62" s="1"/>
    </row>
    <row r="63" spans="1:16" ht="14.25" x14ac:dyDescent="0.2">
      <c r="A63" s="21">
        <v>3</v>
      </c>
      <c r="B63" s="1" t="s">
        <v>112</v>
      </c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1"/>
      <c r="P63" s="1"/>
    </row>
    <row r="64" spans="1:16" ht="14.25" x14ac:dyDescent="0.2">
      <c r="A64" s="21"/>
      <c r="B64" s="1"/>
      <c r="C64" s="152" t="s">
        <v>141</v>
      </c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1"/>
      <c r="P64" s="1"/>
    </row>
    <row r="65" spans="1:16" ht="14.25" x14ac:dyDescent="0.2">
      <c r="A65" s="21"/>
      <c r="B65" s="1"/>
      <c r="C65" s="1" t="s">
        <v>111</v>
      </c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1"/>
      <c r="P65" s="1"/>
    </row>
    <row r="66" spans="1:16" ht="14.25" x14ac:dyDescent="0.2">
      <c r="A66" s="21">
        <v>4</v>
      </c>
      <c r="B66" s="1" t="s">
        <v>125</v>
      </c>
      <c r="C66" s="1"/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  <c r="O66" s="1"/>
      <c r="P66" s="1"/>
    </row>
    <row r="67" spans="1:16" ht="14.25" x14ac:dyDescent="0.2">
      <c r="A67" s="21">
        <v>5</v>
      </c>
      <c r="B67" s="1" t="s">
        <v>26</v>
      </c>
      <c r="C67" s="1"/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1"/>
      <c r="P67" s="1"/>
    </row>
    <row r="68" spans="1:16" x14ac:dyDescent="0.2">
      <c r="A68" s="1"/>
      <c r="C68" s="1" t="s">
        <v>69</v>
      </c>
      <c r="D68" s="1"/>
      <c r="E68" s="1"/>
      <c r="F68" s="1"/>
      <c r="G68" s="1"/>
      <c r="H68" s="1"/>
      <c r="I68" s="1"/>
      <c r="J68" s="1"/>
      <c r="K68" s="1"/>
      <c r="L68" s="3"/>
      <c r="M68" s="3"/>
      <c r="N68" s="3"/>
      <c r="O68" s="1"/>
      <c r="P68" s="1"/>
    </row>
    <row r="69" spans="1:16" x14ac:dyDescent="0.2">
      <c r="A69" s="1"/>
      <c r="C69" s="1" t="s">
        <v>27</v>
      </c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1"/>
      <c r="P69" s="1"/>
    </row>
    <row r="70" spans="1:16" x14ac:dyDescent="0.2">
      <c r="A70" s="1"/>
      <c r="C70" s="29" t="s">
        <v>73</v>
      </c>
      <c r="D70" s="29"/>
      <c r="E70" s="29"/>
      <c r="F70" s="135">
        <v>480</v>
      </c>
      <c r="G70" s="104" t="s">
        <v>7</v>
      </c>
      <c r="H70" s="29" t="s">
        <v>74</v>
      </c>
      <c r="I70" s="87"/>
      <c r="J70" s="136">
        <v>330</v>
      </c>
      <c r="K70" s="104" t="s">
        <v>7</v>
      </c>
      <c r="L70" s="3"/>
      <c r="M70" s="3"/>
      <c r="N70" s="3"/>
      <c r="O70" s="1"/>
      <c r="P70" s="1"/>
    </row>
    <row r="71" spans="1:16" x14ac:dyDescent="0.2">
      <c r="A71" s="1"/>
      <c r="C71" s="1" t="s">
        <v>113</v>
      </c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1"/>
      <c r="P71" s="1"/>
    </row>
    <row r="72" spans="1:16" x14ac:dyDescent="0.2">
      <c r="A72" s="1"/>
      <c r="C72" s="1" t="s">
        <v>70</v>
      </c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1"/>
      <c r="P72" s="1"/>
    </row>
    <row r="73" spans="1:16" ht="14.25" x14ac:dyDescent="0.2">
      <c r="A73" s="21">
        <v>6</v>
      </c>
      <c r="B73" s="152" t="s">
        <v>150</v>
      </c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1"/>
      <c r="P73" s="1"/>
    </row>
    <row r="74" spans="1:16" ht="14.25" x14ac:dyDescent="0.2">
      <c r="A74" s="21"/>
      <c r="B74" s="1" t="s">
        <v>120</v>
      </c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  <c r="O74" s="1"/>
      <c r="P74" s="1"/>
    </row>
    <row r="75" spans="1:16" ht="14.25" x14ac:dyDescent="0.2">
      <c r="A75" s="21"/>
      <c r="B75" s="1" t="s">
        <v>121</v>
      </c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  <c r="O75" s="1"/>
      <c r="P75" s="1"/>
    </row>
    <row r="76" spans="1:16" x14ac:dyDescent="0.2">
      <c r="A76" s="1"/>
      <c r="B76" s="1" t="s">
        <v>122</v>
      </c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3"/>
      <c r="O76" s="1"/>
      <c r="P76" s="1"/>
    </row>
    <row r="77" spans="1:16" x14ac:dyDescent="0.2">
      <c r="A77" s="1"/>
      <c r="B77" s="1" t="s">
        <v>123</v>
      </c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3"/>
      <c r="O77" s="1"/>
      <c r="P77" s="1"/>
    </row>
    <row r="78" spans="1:16" ht="14.25" x14ac:dyDescent="0.2">
      <c r="A78" s="21">
        <v>7</v>
      </c>
      <c r="B78" s="1" t="s">
        <v>60</v>
      </c>
      <c r="L78" s="22"/>
      <c r="M78" s="22"/>
      <c r="N78" s="22"/>
    </row>
    <row r="79" spans="1:16" ht="14.25" x14ac:dyDescent="0.2">
      <c r="A79" s="21">
        <v>8</v>
      </c>
      <c r="B79" s="1" t="s">
        <v>28</v>
      </c>
      <c r="L79" s="22"/>
      <c r="M79" s="22"/>
      <c r="N79" s="22"/>
    </row>
    <row r="80" spans="1:16" ht="14.25" x14ac:dyDescent="0.2">
      <c r="A80" s="21">
        <v>9</v>
      </c>
      <c r="B80" s="1" t="s">
        <v>130</v>
      </c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1"/>
      <c r="P80" s="1"/>
    </row>
    <row r="81" spans="1:16" ht="14.25" x14ac:dyDescent="0.2">
      <c r="A81" s="21">
        <v>10</v>
      </c>
      <c r="B81" s="1" t="s">
        <v>126</v>
      </c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1"/>
      <c r="P81" s="1"/>
    </row>
    <row r="82" spans="1:16" ht="14.25" x14ac:dyDescent="0.2">
      <c r="A82" s="21">
        <v>11</v>
      </c>
      <c r="B82" s="152" t="s">
        <v>143</v>
      </c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1"/>
      <c r="P82" s="1"/>
    </row>
    <row r="83" spans="1:16" ht="14.25" x14ac:dyDescent="0.2">
      <c r="A83" s="21" t="s">
        <v>105</v>
      </c>
      <c r="B83" s="1" t="s">
        <v>131</v>
      </c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1"/>
      <c r="P83" s="1"/>
    </row>
    <row r="84" spans="1:16" ht="14.25" x14ac:dyDescent="0.2">
      <c r="A84" s="21">
        <v>12</v>
      </c>
      <c r="B84" s="1" t="s">
        <v>29</v>
      </c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1"/>
      <c r="P84" s="1"/>
    </row>
    <row r="85" spans="1:16" x14ac:dyDescent="0.2">
      <c r="A85" s="1"/>
      <c r="B85" s="1" t="s">
        <v>77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1"/>
      <c r="P85" s="1"/>
    </row>
    <row r="86" spans="1:16" ht="14.25" x14ac:dyDescent="0.2">
      <c r="A86" s="21">
        <v>13</v>
      </c>
      <c r="B86" s="152" t="s">
        <v>151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1"/>
      <c r="P86" s="1"/>
    </row>
    <row r="87" spans="1:16" ht="14.25" x14ac:dyDescent="0.2">
      <c r="A87" s="21"/>
      <c r="B87" s="1" t="s">
        <v>109</v>
      </c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1"/>
      <c r="P87" s="1"/>
    </row>
    <row r="88" spans="1:16" ht="14.25" x14ac:dyDescent="0.2">
      <c r="A88" s="21"/>
      <c r="B88" s="1" t="s">
        <v>106</v>
      </c>
      <c r="C88" s="1"/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  <c r="O88" s="1"/>
      <c r="P88" s="1"/>
    </row>
    <row r="89" spans="1:16" ht="14.25" x14ac:dyDescent="0.2">
      <c r="A89" s="21">
        <v>14</v>
      </c>
      <c r="B89" s="1" t="s">
        <v>30</v>
      </c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  <c r="O89" s="1"/>
      <c r="P89" s="1"/>
    </row>
    <row r="90" spans="1:16" ht="14.25" x14ac:dyDescent="0.2">
      <c r="A90" s="21"/>
      <c r="B90" s="1"/>
      <c r="C90" s="152" t="s">
        <v>144</v>
      </c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  <c r="O90" s="1"/>
      <c r="P90" s="1"/>
    </row>
    <row r="91" spans="1:16" ht="14.25" x14ac:dyDescent="0.2">
      <c r="A91" s="21"/>
      <c r="B91" s="1"/>
      <c r="C91" s="152" t="s">
        <v>145</v>
      </c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1"/>
      <c r="P91" s="1"/>
    </row>
    <row r="92" spans="1:16" s="157" customFormat="1" ht="14.25" x14ac:dyDescent="0.2">
      <c r="A92" s="21"/>
      <c r="B92" s="1"/>
      <c r="C92" s="152" t="s">
        <v>155</v>
      </c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1"/>
      <c r="P92" s="1"/>
    </row>
    <row r="93" spans="1:16" ht="14.25" x14ac:dyDescent="0.2">
      <c r="A93" s="21">
        <v>15</v>
      </c>
      <c r="B93" s="1" t="s">
        <v>132</v>
      </c>
      <c r="C93" s="1"/>
      <c r="D93" s="1"/>
      <c r="E93" s="1"/>
      <c r="F93" s="1"/>
      <c r="G93" s="1"/>
      <c r="H93" s="1"/>
      <c r="I93" s="1"/>
      <c r="J93" s="1"/>
      <c r="K93" s="1"/>
      <c r="L93" s="3"/>
      <c r="M93" s="3"/>
      <c r="N93" s="3"/>
      <c r="O93" s="1"/>
      <c r="P93" s="1"/>
    </row>
    <row r="94" spans="1:16" ht="14.25" x14ac:dyDescent="0.2">
      <c r="A94" s="21"/>
      <c r="B94" s="1" t="s">
        <v>91</v>
      </c>
      <c r="C94" s="1"/>
      <c r="D94" s="1"/>
      <c r="E94" s="1"/>
      <c r="F94" s="1"/>
      <c r="G94" s="1"/>
      <c r="H94" s="1"/>
      <c r="I94" s="1"/>
      <c r="J94" s="1"/>
      <c r="K94" s="1"/>
      <c r="L94" s="3"/>
      <c r="M94" s="3"/>
      <c r="N94" s="3"/>
      <c r="O94" s="1"/>
      <c r="P94" s="1"/>
    </row>
    <row r="95" spans="1:16" ht="14.25" x14ac:dyDescent="0.2">
      <c r="A95" s="21"/>
      <c r="B95" s="1"/>
      <c r="C95" s="1" t="s">
        <v>127</v>
      </c>
      <c r="D95" s="1"/>
      <c r="E95" s="1"/>
      <c r="F95" s="1"/>
      <c r="G95" s="1"/>
      <c r="H95" s="1"/>
      <c r="I95" s="1"/>
      <c r="J95" s="1"/>
      <c r="K95" s="1"/>
      <c r="L95" s="3"/>
      <c r="M95" s="3"/>
      <c r="N95" s="3"/>
      <c r="O95" s="1"/>
      <c r="P95" s="1"/>
    </row>
    <row r="96" spans="1:16" ht="14.25" x14ac:dyDescent="0.2">
      <c r="A96" s="21">
        <v>16</v>
      </c>
      <c r="B96" s="1" t="s">
        <v>31</v>
      </c>
      <c r="C96" s="1"/>
      <c r="L96" s="22"/>
      <c r="M96" s="22"/>
      <c r="N96" s="22"/>
    </row>
    <row r="97" spans="1:14" x14ac:dyDescent="0.2">
      <c r="B97" s="1"/>
      <c r="C97" s="1" t="s">
        <v>32</v>
      </c>
      <c r="L97" s="22"/>
      <c r="M97" s="22"/>
      <c r="N97" s="22"/>
    </row>
    <row r="98" spans="1:14" x14ac:dyDescent="0.2">
      <c r="B98" s="1"/>
      <c r="C98" s="1"/>
      <c r="L98" s="22"/>
      <c r="M98" s="22"/>
      <c r="N98" s="22"/>
    </row>
    <row r="99" spans="1:14" x14ac:dyDescent="0.2">
      <c r="A99" s="169" t="s">
        <v>67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</row>
    <row r="100" spans="1:14" ht="36" x14ac:dyDescent="0.2">
      <c r="A100" s="29"/>
      <c r="B100" s="29"/>
      <c r="C100" s="29"/>
      <c r="D100" s="29"/>
      <c r="E100" s="30" t="s">
        <v>33</v>
      </c>
      <c r="F100" s="31" t="s">
        <v>47</v>
      </c>
      <c r="G100" s="30" t="s">
        <v>48</v>
      </c>
      <c r="H100" s="30"/>
      <c r="I100" s="30"/>
      <c r="J100" s="32" t="s">
        <v>49</v>
      </c>
      <c r="K100" s="31" t="s">
        <v>50</v>
      </c>
      <c r="L100" s="31" t="s">
        <v>51</v>
      </c>
      <c r="M100" s="129" t="s">
        <v>90</v>
      </c>
      <c r="N100" s="31" t="s">
        <v>34</v>
      </c>
    </row>
    <row r="101" spans="1:14" x14ac:dyDescent="0.2">
      <c r="A101" s="29"/>
      <c r="B101" s="33" t="s">
        <v>136</v>
      </c>
      <c r="C101" s="33"/>
      <c r="D101" s="33"/>
      <c r="E101" s="34">
        <v>4</v>
      </c>
      <c r="F101" s="35">
        <v>32500</v>
      </c>
      <c r="G101" s="36">
        <v>400</v>
      </c>
      <c r="H101" s="37"/>
      <c r="I101" s="37"/>
      <c r="J101" s="38">
        <f>'Machinery Costs'!J2</f>
        <v>11.3369140625</v>
      </c>
      <c r="K101" s="39">
        <v>8.73</v>
      </c>
      <c r="L101" s="117">
        <f>0.38*E101</f>
        <v>1.52</v>
      </c>
      <c r="M101" s="122">
        <f>(G101*E101)/K101</f>
        <v>183.27605956471936</v>
      </c>
      <c r="N101" s="117">
        <f>0.64*E101</f>
        <v>2.56</v>
      </c>
    </row>
    <row r="102" spans="1:14" x14ac:dyDescent="0.2">
      <c r="A102" s="29"/>
      <c r="B102" s="40" t="s">
        <v>116</v>
      </c>
      <c r="C102" s="40"/>
      <c r="D102" s="40"/>
      <c r="E102" s="27">
        <v>4</v>
      </c>
      <c r="F102" s="23">
        <v>46500</v>
      </c>
      <c r="G102" s="41">
        <v>400</v>
      </c>
      <c r="H102" s="42"/>
      <c r="I102" s="42"/>
      <c r="J102" s="38">
        <f>'Machinery Costs'!J3</f>
        <v>11.9891015625</v>
      </c>
      <c r="K102" s="43">
        <v>26.18</v>
      </c>
      <c r="L102" s="118">
        <f>0.07*E102</f>
        <v>0.28000000000000003</v>
      </c>
      <c r="M102" s="123">
        <f>(G102*E102)/K102</f>
        <v>61.11535523300229</v>
      </c>
      <c r="N102" s="118">
        <f>0.33*E102</f>
        <v>1.32</v>
      </c>
    </row>
    <row r="103" spans="1:14" x14ac:dyDescent="0.2">
      <c r="A103" s="29"/>
      <c r="B103" s="138" t="s">
        <v>152</v>
      </c>
      <c r="C103" s="138"/>
      <c r="D103" s="138"/>
      <c r="E103" s="27">
        <v>4</v>
      </c>
      <c r="F103" s="23">
        <v>237000</v>
      </c>
      <c r="G103" s="41">
        <v>400</v>
      </c>
      <c r="H103" s="42"/>
      <c r="I103" s="42"/>
      <c r="J103" s="38">
        <f>'Machinery Costs'!J4</f>
        <v>32.5006640625</v>
      </c>
      <c r="K103" s="141" t="s">
        <v>52</v>
      </c>
      <c r="L103" s="142" t="s">
        <v>52</v>
      </c>
      <c r="M103" s="123">
        <f>M104</f>
        <v>393.12039312039309</v>
      </c>
      <c r="N103" s="118">
        <f>(M103*26.94)/400</f>
        <v>26.476658476658475</v>
      </c>
    </row>
    <row r="104" spans="1:14" x14ac:dyDescent="0.2">
      <c r="A104" s="29"/>
      <c r="B104" s="139"/>
      <c r="C104" s="138" t="s">
        <v>100</v>
      </c>
      <c r="D104" s="139"/>
      <c r="E104" s="27">
        <v>4</v>
      </c>
      <c r="F104" s="23">
        <v>20000</v>
      </c>
      <c r="G104" s="41">
        <v>400</v>
      </c>
      <c r="H104" s="42"/>
      <c r="I104" s="42"/>
      <c r="J104" s="38">
        <f>'Machinery Costs'!J5</f>
        <v>3.2989062499999999</v>
      </c>
      <c r="K104" s="43">
        <v>4.07</v>
      </c>
      <c r="L104" s="118">
        <f>1.85*E104</f>
        <v>7.4</v>
      </c>
      <c r="M104" s="123">
        <f>(G104*E104)/K104</f>
        <v>393.12039312039309</v>
      </c>
      <c r="N104" s="118">
        <f>0.39*E104</f>
        <v>1.56</v>
      </c>
    </row>
    <row r="105" spans="1:14" x14ac:dyDescent="0.2">
      <c r="A105" s="29"/>
      <c r="B105" s="40" t="s">
        <v>101</v>
      </c>
      <c r="C105" s="40"/>
      <c r="D105" s="40"/>
      <c r="E105" s="27">
        <v>1</v>
      </c>
      <c r="F105" s="23">
        <v>72000</v>
      </c>
      <c r="G105" s="41">
        <v>400</v>
      </c>
      <c r="H105" s="42"/>
      <c r="I105" s="42"/>
      <c r="J105" s="38">
        <f>'Machinery Costs'!J6</f>
        <v>10.2965625</v>
      </c>
      <c r="K105" s="66">
        <v>4.07</v>
      </c>
      <c r="L105" s="118">
        <f>0.1*E105</f>
        <v>0.1</v>
      </c>
      <c r="M105" s="123">
        <f>(G105*E105)/K105</f>
        <v>98.280098280098272</v>
      </c>
      <c r="N105" s="118">
        <f>0.1*E105</f>
        <v>0.1</v>
      </c>
    </row>
    <row r="106" spans="1:14" x14ac:dyDescent="0.2">
      <c r="A106" s="29"/>
      <c r="B106" s="40" t="s">
        <v>75</v>
      </c>
      <c r="C106" s="40"/>
      <c r="D106" s="40"/>
      <c r="E106" s="27">
        <v>1</v>
      </c>
      <c r="F106" s="23">
        <v>12000</v>
      </c>
      <c r="G106" s="41">
        <v>2000</v>
      </c>
      <c r="H106" s="42"/>
      <c r="I106" s="107"/>
      <c r="J106" s="38">
        <f>'Machinery Costs'!J7</f>
        <v>0.79826249999999999</v>
      </c>
      <c r="K106" s="106">
        <v>34</v>
      </c>
      <c r="L106" s="118">
        <f>0.12*E106</f>
        <v>0.12</v>
      </c>
      <c r="M106" s="123">
        <f>(G106*E106)/K106</f>
        <v>58.823529411764703</v>
      </c>
      <c r="N106" s="120">
        <f>0.15*E106</f>
        <v>0.15</v>
      </c>
    </row>
    <row r="107" spans="1:14" x14ac:dyDescent="0.2">
      <c r="A107" s="29"/>
      <c r="B107" s="40" t="s">
        <v>135</v>
      </c>
      <c r="C107" s="40"/>
      <c r="D107" s="40"/>
      <c r="E107" s="27">
        <v>4</v>
      </c>
      <c r="F107" s="23">
        <v>74000</v>
      </c>
      <c r="G107" s="41">
        <v>400</v>
      </c>
      <c r="H107" s="42"/>
      <c r="I107" s="107"/>
      <c r="J107" s="38">
        <f>'Machinery Costs'!J8</f>
        <v>6.1781250000000014</v>
      </c>
      <c r="K107" s="44" t="s">
        <v>52</v>
      </c>
      <c r="L107" s="44" t="s">
        <v>52</v>
      </c>
      <c r="M107" s="123">
        <f>M101</f>
        <v>183.27605956471936</v>
      </c>
      <c r="N107" s="120">
        <f>(M107*2.22)/400</f>
        <v>1.0171821305841926</v>
      </c>
    </row>
    <row r="108" spans="1:14" x14ac:dyDescent="0.2">
      <c r="A108" s="29"/>
      <c r="B108" s="40" t="s">
        <v>36</v>
      </c>
      <c r="C108" s="40"/>
      <c r="D108" s="40"/>
      <c r="E108" s="27">
        <v>5</v>
      </c>
      <c r="F108" s="23">
        <v>40000</v>
      </c>
      <c r="G108" s="41">
        <v>400</v>
      </c>
      <c r="H108" s="42"/>
      <c r="I108" s="42"/>
      <c r="J108" s="38">
        <f>'Machinery Costs'!J9</f>
        <v>12.86575</v>
      </c>
      <c r="K108" s="44" t="s">
        <v>52</v>
      </c>
      <c r="L108" s="44" t="s">
        <v>52</v>
      </c>
      <c r="M108" s="124">
        <f>M102+M106</f>
        <v>119.938884644767</v>
      </c>
      <c r="N108" s="120">
        <f>(M108*1.41)/400</f>
        <v>0.42278456837280365</v>
      </c>
    </row>
    <row r="109" spans="1:14" x14ac:dyDescent="0.2">
      <c r="A109" s="29"/>
      <c r="B109" s="45" t="s">
        <v>53</v>
      </c>
      <c r="C109" s="45"/>
      <c r="D109" s="45"/>
      <c r="E109" s="46">
        <v>3</v>
      </c>
      <c r="F109" s="47">
        <v>30000</v>
      </c>
      <c r="G109" s="48">
        <v>2000</v>
      </c>
      <c r="H109" s="49"/>
      <c r="I109" s="49"/>
      <c r="J109" s="130">
        <f>'Machinery Costs'!J10</f>
        <v>1.77459375</v>
      </c>
      <c r="K109" s="50" t="s">
        <v>52</v>
      </c>
      <c r="L109" s="119">
        <v>0.21</v>
      </c>
      <c r="M109" s="28"/>
      <c r="N109" s="121">
        <v>0.15</v>
      </c>
    </row>
    <row r="110" spans="1:14" x14ac:dyDescent="0.2">
      <c r="A110" s="29"/>
      <c r="C110" s="29"/>
      <c r="D110" s="29"/>
      <c r="E110" s="51"/>
      <c r="F110" s="52"/>
      <c r="G110" s="52"/>
      <c r="H110" s="52"/>
      <c r="I110" s="52"/>
      <c r="J110" s="53"/>
      <c r="K110" s="54" t="s">
        <v>54</v>
      </c>
      <c r="L110" s="55">
        <f>SUM(L101:L108)*N113+(L109*N113*1.2)</f>
        <v>16.925999999999998</v>
      </c>
      <c r="N110" s="56"/>
    </row>
    <row r="111" spans="1:14" x14ac:dyDescent="0.2">
      <c r="A111" s="29"/>
      <c r="B111" s="57" t="s">
        <v>55</v>
      </c>
      <c r="C111" s="57"/>
      <c r="D111" s="57"/>
      <c r="E111" s="57"/>
      <c r="F111" s="58"/>
      <c r="G111" s="58"/>
      <c r="H111" s="58"/>
      <c r="I111" s="58"/>
      <c r="J111" s="59">
        <f>SUM(J101:J109)</f>
        <v>91.038879687500014</v>
      </c>
      <c r="K111" s="54" t="s">
        <v>56</v>
      </c>
      <c r="L111" s="55">
        <f>(L110*0.1)+L110</f>
        <v>18.618599999999997</v>
      </c>
      <c r="M111" s="26" t="s">
        <v>57</v>
      </c>
      <c r="N111" s="55">
        <f>SUM(N101:N109)</f>
        <v>33.756625175615468</v>
      </c>
    </row>
    <row r="112" spans="1:14" x14ac:dyDescent="0.2">
      <c r="A112" s="29"/>
      <c r="B112" s="57"/>
      <c r="C112" s="29"/>
      <c r="D112" s="29"/>
      <c r="E112" s="29"/>
      <c r="F112" s="60"/>
      <c r="G112" s="61"/>
      <c r="H112" s="61"/>
      <c r="I112" s="61"/>
      <c r="J112" s="62"/>
      <c r="K112" s="57"/>
      <c r="L112" s="63"/>
      <c r="M112" s="63"/>
      <c r="N112" s="63"/>
    </row>
    <row r="113" spans="1:18" x14ac:dyDescent="0.2">
      <c r="A113" s="29"/>
      <c r="B113" s="29"/>
      <c r="C113" s="57"/>
      <c r="D113" s="57"/>
      <c r="E113" s="57"/>
      <c r="F113" s="64"/>
      <c r="G113" s="64"/>
      <c r="H113" s="64"/>
      <c r="I113" s="64"/>
      <c r="J113" s="64"/>
      <c r="K113" s="164" t="s">
        <v>58</v>
      </c>
      <c r="L113" s="164"/>
      <c r="M113" s="164"/>
      <c r="N113" s="65">
        <v>1.75</v>
      </c>
    </row>
    <row r="114" spans="1:18" x14ac:dyDescent="0.2">
      <c r="B114" s="1"/>
      <c r="C114" s="1"/>
      <c r="L114" s="22"/>
      <c r="M114" s="22"/>
      <c r="N114" s="22"/>
    </row>
    <row r="115" spans="1:18" x14ac:dyDescent="0.2">
      <c r="A115" s="71"/>
      <c r="B115" s="9" t="s">
        <v>114</v>
      </c>
      <c r="C115" s="9"/>
      <c r="D115" s="71"/>
      <c r="E115" s="71"/>
      <c r="F115" s="71"/>
      <c r="G115" s="71"/>
      <c r="H115" s="71"/>
      <c r="I115" s="71"/>
      <c r="J115" s="71"/>
      <c r="K115" s="71"/>
      <c r="L115" s="72"/>
      <c r="M115" s="72"/>
      <c r="N115" s="72"/>
    </row>
    <row r="116" spans="1:18" x14ac:dyDescent="0.2">
      <c r="A116" s="71"/>
      <c r="B116" s="9"/>
      <c r="C116" s="9"/>
      <c r="D116" s="71"/>
      <c r="E116" s="71"/>
      <c r="F116" s="71"/>
      <c r="G116" s="71"/>
      <c r="H116" s="71"/>
      <c r="I116" s="71"/>
      <c r="J116" s="71"/>
      <c r="K116" s="71"/>
      <c r="L116" s="72"/>
      <c r="M116" s="72"/>
      <c r="N116" s="72"/>
    </row>
    <row r="117" spans="1:18" x14ac:dyDescent="0.2">
      <c r="A117" s="29" t="s">
        <v>119</v>
      </c>
      <c r="B117" s="57"/>
      <c r="C117" s="57"/>
      <c r="D117" s="57"/>
      <c r="E117" s="57"/>
      <c r="F117" s="64"/>
      <c r="G117" s="64"/>
      <c r="H117" s="64"/>
      <c r="I117" s="64"/>
      <c r="J117" s="62"/>
      <c r="K117" s="57"/>
      <c r="L117" s="63"/>
      <c r="M117" s="63"/>
      <c r="N117" s="20"/>
      <c r="O117" s="1"/>
      <c r="P117" s="1"/>
    </row>
    <row r="118" spans="1:18" x14ac:dyDescent="0.2">
      <c r="A118" s="29" t="s">
        <v>92</v>
      </c>
      <c r="B118" s="57"/>
      <c r="C118" s="57"/>
      <c r="D118" s="57"/>
      <c r="E118" s="57"/>
      <c r="F118" s="64"/>
      <c r="G118" s="64"/>
      <c r="H118" s="64"/>
      <c r="I118" s="64"/>
      <c r="J118" s="62"/>
      <c r="K118" s="57"/>
      <c r="L118" s="63"/>
      <c r="M118" s="63"/>
      <c r="N118" s="20"/>
      <c r="O118" s="3"/>
      <c r="P118" s="1"/>
    </row>
    <row r="119" spans="1:18" x14ac:dyDescent="0.2">
      <c r="A119" s="132" t="s">
        <v>154</v>
      </c>
      <c r="B119" s="57"/>
      <c r="C119" s="57"/>
      <c r="D119" s="57"/>
      <c r="E119" s="57"/>
      <c r="F119" s="64"/>
      <c r="G119" s="64"/>
      <c r="H119" s="64"/>
      <c r="I119" s="64"/>
      <c r="J119" s="62"/>
      <c r="K119" s="57"/>
      <c r="L119" s="63"/>
      <c r="M119" s="63"/>
      <c r="N119" s="20"/>
      <c r="O119" s="3"/>
      <c r="P119" s="1"/>
    </row>
    <row r="120" spans="1:18" x14ac:dyDescent="0.2">
      <c r="A120" s="29" t="s">
        <v>133</v>
      </c>
      <c r="B120" s="29"/>
      <c r="C120" s="29"/>
      <c r="D120" s="29"/>
      <c r="E120" s="29"/>
      <c r="F120" s="84"/>
      <c r="G120" s="84"/>
      <c r="H120" s="84"/>
      <c r="I120" s="84"/>
      <c r="J120" s="62"/>
      <c r="K120" s="29"/>
      <c r="L120" s="85"/>
      <c r="M120" s="85"/>
      <c r="N120" s="20"/>
      <c r="O120" s="3"/>
    </row>
    <row r="121" spans="1:18" x14ac:dyDescent="0.2">
      <c r="A121" s="29" t="s">
        <v>134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86"/>
      <c r="N121" s="20"/>
      <c r="O121" s="3"/>
    </row>
    <row r="122" spans="1:18" ht="13.5" customHeight="1" x14ac:dyDescent="0.2">
      <c r="A122" s="29" t="s">
        <v>117</v>
      </c>
      <c r="B122" s="29"/>
      <c r="C122" s="29"/>
      <c r="D122" s="29"/>
      <c r="E122" s="87"/>
      <c r="F122" s="87"/>
      <c r="G122" s="87"/>
      <c r="H122" s="87"/>
      <c r="I122" s="87"/>
      <c r="J122" s="87"/>
      <c r="K122" s="29"/>
      <c r="L122" s="29"/>
      <c r="M122" s="85"/>
      <c r="N122" s="20"/>
      <c r="O122" s="3"/>
    </row>
    <row r="123" spans="1:18" x14ac:dyDescent="0.2">
      <c r="A123" s="88" t="s">
        <v>95</v>
      </c>
      <c r="B123" s="29"/>
      <c r="C123" s="89"/>
      <c r="D123" s="29"/>
      <c r="E123" s="87"/>
      <c r="F123" s="87"/>
      <c r="G123" s="87"/>
      <c r="H123" s="87"/>
      <c r="I123" s="87"/>
      <c r="J123" s="87"/>
      <c r="K123" s="29"/>
      <c r="L123" s="29"/>
      <c r="M123" s="85"/>
      <c r="N123" s="20"/>
      <c r="O123" s="3"/>
    </row>
    <row r="124" spans="1:18" x14ac:dyDescent="0.2">
      <c r="A124" s="29" t="s">
        <v>94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85"/>
      <c r="N124" s="20"/>
      <c r="O124" s="3"/>
      <c r="Q124" s="25"/>
      <c r="R124" s="25"/>
    </row>
    <row r="125" spans="1:18" x14ac:dyDescent="0.2">
      <c r="A125" s="29" t="s">
        <v>153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85"/>
      <c r="N125" s="20"/>
      <c r="O125" s="3"/>
      <c r="Q125" s="25"/>
      <c r="R125" s="25"/>
    </row>
    <row r="126" spans="1:18" x14ac:dyDescent="0.2">
      <c r="A126" s="29" t="s">
        <v>96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85"/>
      <c r="N126" s="20"/>
      <c r="O126" s="3"/>
      <c r="Q126" s="25"/>
      <c r="R126" s="25"/>
    </row>
    <row r="127" spans="1:18" x14ac:dyDescent="0.2">
      <c r="A127" s="29" t="s">
        <v>93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85"/>
      <c r="N127" s="20"/>
      <c r="O127" s="3"/>
      <c r="Q127" s="25"/>
      <c r="R127" s="25"/>
    </row>
    <row r="128" spans="1:18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85"/>
      <c r="N128" s="20"/>
      <c r="O128" s="3"/>
      <c r="Q128" s="25"/>
      <c r="R128" s="25"/>
    </row>
    <row r="129" spans="1:18" x14ac:dyDescent="0.2">
      <c r="A129" s="137" t="s">
        <v>98</v>
      </c>
      <c r="B129" s="7"/>
      <c r="C129" s="7"/>
      <c r="D129" s="7"/>
      <c r="E129" s="7"/>
      <c r="F129" s="76"/>
      <c r="G129" s="74"/>
      <c r="H129" s="74"/>
      <c r="I129" s="77"/>
      <c r="J129" s="71"/>
      <c r="K129" s="71"/>
      <c r="L129" s="75"/>
      <c r="M129" s="78"/>
      <c r="N129" s="20"/>
      <c r="O129" s="3"/>
      <c r="P129" s="1"/>
      <c r="Q129" s="25"/>
      <c r="R129" s="25"/>
    </row>
    <row r="130" spans="1:18" x14ac:dyDescent="0.2">
      <c r="A130" s="151" t="s">
        <v>146</v>
      </c>
      <c r="B130" s="7"/>
      <c r="C130" s="7"/>
      <c r="D130" s="7"/>
      <c r="E130" s="7"/>
      <c r="F130" s="154"/>
      <c r="G130" s="74"/>
      <c r="H130" s="74"/>
      <c r="I130" s="7"/>
      <c r="J130" s="75"/>
      <c r="K130" s="75"/>
      <c r="L130" s="75"/>
      <c r="M130" s="73"/>
      <c r="N130" s="20"/>
      <c r="O130" s="3"/>
      <c r="P130" s="1"/>
      <c r="Q130" s="25"/>
      <c r="R130" s="25"/>
    </row>
    <row r="131" spans="1:18" x14ac:dyDescent="0.2">
      <c r="A131" s="155" t="s">
        <v>147</v>
      </c>
      <c r="B131" s="71"/>
      <c r="C131" s="155"/>
      <c r="D131" s="155"/>
      <c r="E131" s="155"/>
      <c r="F131" s="154"/>
      <c r="G131" s="74"/>
      <c r="H131" s="74"/>
      <c r="I131" s="9"/>
      <c r="J131" s="20"/>
      <c r="K131" s="20"/>
      <c r="L131" s="20"/>
      <c r="M131" s="73"/>
      <c r="N131" s="20"/>
      <c r="O131" s="3"/>
      <c r="P131" s="1"/>
      <c r="Q131" s="1"/>
      <c r="R131" s="25"/>
    </row>
    <row r="132" spans="1:18" x14ac:dyDescent="0.2">
      <c r="A132" s="156" t="s">
        <v>148</v>
      </c>
      <c r="B132" s="71"/>
      <c r="C132" s="155"/>
      <c r="D132" s="155"/>
      <c r="E132" s="155"/>
      <c r="F132" s="154"/>
      <c r="G132" s="81"/>
      <c r="H132" s="81"/>
      <c r="I132" s="81"/>
      <c r="J132" s="81"/>
      <c r="K132" s="81"/>
      <c r="L132" s="82"/>
      <c r="M132" s="20"/>
      <c r="N132" s="20"/>
      <c r="O132" s="3"/>
      <c r="P132" s="1"/>
      <c r="Q132" s="3"/>
    </row>
    <row r="133" spans="1:18" s="153" customFormat="1" x14ac:dyDescent="0.2">
      <c r="A133" s="9"/>
      <c r="B133" s="9"/>
      <c r="C133" s="9"/>
      <c r="D133" s="9"/>
      <c r="E133" s="80"/>
      <c r="F133" s="71"/>
      <c r="G133" s="81"/>
      <c r="H133" s="81"/>
      <c r="I133" s="81"/>
      <c r="J133" s="81"/>
      <c r="K133" s="81"/>
      <c r="L133" s="82"/>
      <c r="M133" s="20"/>
      <c r="N133" s="20"/>
      <c r="O133" s="3"/>
      <c r="P133" s="1"/>
      <c r="Q133" s="3"/>
    </row>
    <row r="134" spans="1:18" x14ac:dyDescent="0.2">
      <c r="A134" s="81" t="s">
        <v>107</v>
      </c>
      <c r="B134" s="71"/>
      <c r="C134" s="9"/>
      <c r="D134" s="9"/>
      <c r="E134" s="9"/>
      <c r="F134" s="79"/>
      <c r="G134" s="74"/>
      <c r="H134" s="74"/>
      <c r="I134" s="9"/>
      <c r="J134" s="20"/>
      <c r="K134" s="20"/>
      <c r="L134" s="20"/>
      <c r="M134" s="75"/>
      <c r="N134" s="20"/>
      <c r="O134" s="3"/>
      <c r="P134" s="1"/>
    </row>
    <row r="135" spans="1:18" x14ac:dyDescent="0.2">
      <c r="A135" s="146" t="s">
        <v>108</v>
      </c>
      <c r="B135" s="9"/>
      <c r="C135" s="9"/>
      <c r="D135" s="9"/>
      <c r="E135" s="80"/>
      <c r="F135" s="71"/>
      <c r="G135" s="81"/>
      <c r="H135" s="81"/>
      <c r="I135" s="81"/>
      <c r="J135" s="81"/>
      <c r="K135" s="81"/>
      <c r="L135" s="82"/>
      <c r="M135" s="20"/>
      <c r="N135" s="20"/>
      <c r="O135" s="3"/>
      <c r="P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"/>
      <c r="M136" s="3"/>
      <c r="N136" s="3"/>
      <c r="O136" s="3"/>
      <c r="P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"/>
      <c r="M137" s="3"/>
      <c r="N137" s="3"/>
      <c r="O137" s="3"/>
      <c r="P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/>
      <c r="M138" s="3"/>
      <c r="N138" s="3"/>
      <c r="O138" s="3"/>
      <c r="P138" s="1"/>
    </row>
    <row r="139" spans="1:18" x14ac:dyDescent="0.2">
      <c r="I139" s="1"/>
      <c r="M139" s="3"/>
      <c r="N139" s="3"/>
      <c r="O139" s="3"/>
      <c r="P139" s="1"/>
    </row>
    <row r="140" spans="1:18" x14ac:dyDescent="0.2">
      <c r="G140" s="1"/>
      <c r="H140" s="1"/>
      <c r="I140" s="1"/>
      <c r="O140" s="3"/>
      <c r="P140" s="1"/>
    </row>
    <row r="141" spans="1:18" x14ac:dyDescent="0.2">
      <c r="G141" s="1"/>
      <c r="H141" s="1"/>
      <c r="I141" s="1"/>
      <c r="O141" s="24"/>
    </row>
    <row r="142" spans="1:18" x14ac:dyDescent="0.2">
      <c r="G142" s="1"/>
      <c r="H142" s="1"/>
      <c r="I142" s="1"/>
      <c r="O142" s="24"/>
    </row>
    <row r="143" spans="1:18" x14ac:dyDescent="0.2">
      <c r="A143" s="1"/>
      <c r="G143" s="1"/>
      <c r="H143" s="1"/>
      <c r="O143" s="24"/>
    </row>
  </sheetData>
  <mergeCells count="11">
    <mergeCell ref="O6:P6"/>
    <mergeCell ref="K113:M113"/>
    <mergeCell ref="D6:L6"/>
    <mergeCell ref="L8:N8"/>
    <mergeCell ref="D7:L7"/>
    <mergeCell ref="A99:N99"/>
    <mergeCell ref="I8:J8"/>
    <mergeCell ref="I9:J9"/>
    <mergeCell ref="F8:G8"/>
    <mergeCell ref="A8:C8"/>
    <mergeCell ref="L9:N9"/>
  </mergeCells>
  <phoneticPr fontId="0" type="noConversion"/>
  <hyperlinks>
    <hyperlink ref="C94" r:id="rId1" display="http://aede.osu.edu/resources/docs/pdf/UDSIO6SG-9315-IQAW-X7QLG33KLHMNAZZ6.pdf"/>
    <hyperlink ref="A135" r:id="rId2"/>
  </hyperlinks>
  <printOptions horizontalCentered="1"/>
  <pageMargins left="0.5" right="0.5" top="0.5" bottom="0.5" header="0.5" footer="0.5"/>
  <pageSetup scale="75" fitToHeight="2" orientation="portrait" r:id="rId3"/>
  <headerFooter alignWithMargins="0"/>
  <rowBreaks count="1" manualBreakCount="1">
    <brk id="66" max="15" man="1"/>
  </rowBreaks>
  <ignoredErrors>
    <ignoredError sqref="M103" formula="1"/>
  </ignoredError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9" sqref="I9"/>
    </sheetView>
  </sheetViews>
  <sheetFormatPr defaultColWidth="8.85546875" defaultRowHeight="12.75" x14ac:dyDescent="0.2"/>
  <cols>
    <col min="2" max="2" width="13" customWidth="1"/>
    <col min="3" max="3" width="14.7109375" customWidth="1"/>
    <col min="4" max="4" width="12.28515625" customWidth="1"/>
    <col min="5" max="5" width="11.42578125" customWidth="1"/>
    <col min="6" max="6" width="10.42578125" customWidth="1"/>
    <col min="7" max="7" width="9.42578125" customWidth="1"/>
    <col min="8" max="9" width="10.7109375" customWidth="1"/>
    <col min="10" max="10" width="10.42578125" customWidth="1"/>
  </cols>
  <sheetData>
    <row r="1" spans="1:10" x14ac:dyDescent="0.2">
      <c r="A1" s="128"/>
      <c r="B1" s="128"/>
      <c r="C1" s="128" t="s">
        <v>82</v>
      </c>
      <c r="D1" s="128" t="s">
        <v>83</v>
      </c>
      <c r="E1" s="128" t="s">
        <v>84</v>
      </c>
      <c r="F1" s="128" t="s">
        <v>85</v>
      </c>
      <c r="G1" s="128" t="s">
        <v>86</v>
      </c>
      <c r="H1" s="128" t="s">
        <v>87</v>
      </c>
      <c r="I1" s="128" t="s">
        <v>89</v>
      </c>
      <c r="J1" s="128" t="s">
        <v>88</v>
      </c>
    </row>
    <row r="2" spans="1:10" x14ac:dyDescent="0.2">
      <c r="A2" s="127" t="s">
        <v>97</v>
      </c>
      <c r="B2" s="127"/>
      <c r="C2" s="108">
        <f>(alfhay!F101+(alfhay!F101*0.3)+D2)/2</f>
        <v>22546.875</v>
      </c>
      <c r="D2" s="109">
        <f>(alfhay!F101-(alfhay!F101*0.3))/8</f>
        <v>2843.75</v>
      </c>
      <c r="E2" s="109">
        <f>C2*0.06</f>
        <v>1352.8125</v>
      </c>
      <c r="F2" s="109">
        <f>C2*0.005</f>
        <v>112.734375</v>
      </c>
      <c r="G2" s="109">
        <f>C2*0.01</f>
        <v>225.46875</v>
      </c>
      <c r="H2" s="109">
        <f>SUM(D2:G2)</f>
        <v>4534.765625</v>
      </c>
      <c r="I2" s="110">
        <f>alfhay!G101</f>
        <v>400</v>
      </c>
      <c r="J2" s="109">
        <f>H2/I2</f>
        <v>11.3369140625</v>
      </c>
    </row>
    <row r="3" spans="1:10" x14ac:dyDescent="0.2">
      <c r="A3" s="125" t="s">
        <v>35</v>
      </c>
      <c r="B3" s="125"/>
      <c r="C3" s="111">
        <f>(alfhay!F102+(alfhay!F102*0.3)+D3)/2</f>
        <v>32259.375</v>
      </c>
      <c r="D3" s="112">
        <f>(alfhay!F102-(alfhay!F102*0.3))/8</f>
        <v>4068.75</v>
      </c>
      <c r="E3" s="112">
        <v>243</v>
      </c>
      <c r="F3" s="112">
        <f>C3*0.005</f>
        <v>161.296875</v>
      </c>
      <c r="G3" s="112">
        <f>C3*0.01</f>
        <v>322.59375</v>
      </c>
      <c r="H3" s="112">
        <f t="shared" ref="H3:H10" si="0">SUM(D3:G3)</f>
        <v>4795.640625</v>
      </c>
      <c r="I3" s="113">
        <f>alfhay!G102</f>
        <v>400</v>
      </c>
      <c r="J3" s="112">
        <f t="shared" ref="J3:J10" si="1">H3/I3</f>
        <v>11.9891015625</v>
      </c>
    </row>
    <row r="4" spans="1:10" x14ac:dyDescent="0.2">
      <c r="A4" s="138" t="s">
        <v>99</v>
      </c>
      <c r="B4" s="125"/>
      <c r="C4" s="111">
        <f>(alfhay!F103+(alfhay!F103*0.3)+D4)/2</f>
        <v>159234.375</v>
      </c>
      <c r="D4" s="112">
        <f>(alfhay!F103-(alfhay!F103*0.3))/16</f>
        <v>10368.75</v>
      </c>
      <c r="E4" s="112">
        <v>243</v>
      </c>
      <c r="F4" s="112">
        <f t="shared" ref="F4:F10" si="2">C4*0.005</f>
        <v>796.171875</v>
      </c>
      <c r="G4" s="112">
        <f t="shared" ref="G4:G10" si="3">C4*0.01</f>
        <v>1592.34375</v>
      </c>
      <c r="H4" s="112">
        <f>SUM(D4:G4)</f>
        <v>13000.265625</v>
      </c>
      <c r="I4" s="113">
        <v>400</v>
      </c>
      <c r="J4" s="112">
        <f>H4/I4</f>
        <v>32.5006640625</v>
      </c>
    </row>
    <row r="5" spans="1:10" x14ac:dyDescent="0.2">
      <c r="A5" s="138" t="s">
        <v>100</v>
      </c>
      <c r="B5" s="125"/>
      <c r="C5" s="111">
        <f>(alfhay!F104+(alfhay!F104*0.3)+D5)/2</f>
        <v>13437.5</v>
      </c>
      <c r="D5" s="112">
        <f>(alfhay!F104-(alfhay!F104*0.3))/16</f>
        <v>875</v>
      </c>
      <c r="E5" s="112">
        <v>243</v>
      </c>
      <c r="F5" s="112">
        <f t="shared" si="2"/>
        <v>67.1875</v>
      </c>
      <c r="G5" s="112">
        <f t="shared" si="3"/>
        <v>134.375</v>
      </c>
      <c r="H5" s="112">
        <f>SUM(D5:G5)</f>
        <v>1319.5625</v>
      </c>
      <c r="I5" s="113">
        <f>alfhay!G104</f>
        <v>400</v>
      </c>
      <c r="J5" s="112">
        <f>H5/I5</f>
        <v>3.2989062499999999</v>
      </c>
    </row>
    <row r="6" spans="1:10" x14ac:dyDescent="0.2">
      <c r="A6" s="40" t="s">
        <v>101</v>
      </c>
      <c r="B6" s="125"/>
      <c r="C6" s="111">
        <f>(alfhay!F105+(alfhay!F105*0.3)+D6)/2</f>
        <v>48375</v>
      </c>
      <c r="D6" s="112">
        <f>(alfhay!F105-(alfhay!F105*0.3))/16</f>
        <v>3150</v>
      </c>
      <c r="E6" s="112">
        <v>243</v>
      </c>
      <c r="F6" s="112">
        <f t="shared" si="2"/>
        <v>241.875</v>
      </c>
      <c r="G6" s="112">
        <f t="shared" si="3"/>
        <v>483.75</v>
      </c>
      <c r="H6" s="112">
        <f>SUM(D6:G6)</f>
        <v>4118.625</v>
      </c>
      <c r="I6" s="113">
        <v>400</v>
      </c>
      <c r="J6" s="112">
        <f>H6/I6</f>
        <v>10.2965625</v>
      </c>
    </row>
    <row r="7" spans="1:10" x14ac:dyDescent="0.2">
      <c r="A7" s="125" t="s">
        <v>75</v>
      </c>
      <c r="B7" s="125"/>
      <c r="C7" s="111">
        <f>(alfhay!F106+(alfhay!F106*0.34)+D7)/2</f>
        <v>8535</v>
      </c>
      <c r="D7" s="112">
        <f>(alfhay!F106-(alfhay!F106*0.34))/8</f>
        <v>990</v>
      </c>
      <c r="E7" s="112">
        <v>478.5</v>
      </c>
      <c r="F7" s="112">
        <f t="shared" si="2"/>
        <v>42.675000000000004</v>
      </c>
      <c r="G7" s="112">
        <f t="shared" si="3"/>
        <v>85.350000000000009</v>
      </c>
      <c r="H7" s="112">
        <f t="shared" si="0"/>
        <v>1596.5249999999999</v>
      </c>
      <c r="I7" s="113">
        <f>alfhay!G106</f>
        <v>2000</v>
      </c>
      <c r="J7" s="112">
        <f t="shared" si="1"/>
        <v>0.79826249999999999</v>
      </c>
    </row>
    <row r="8" spans="1:10" x14ac:dyDescent="0.2">
      <c r="A8" s="40" t="s">
        <v>135</v>
      </c>
      <c r="B8" s="125"/>
      <c r="C8" s="111">
        <f>(alfhay!F106+(alfhay!F106*0.32)+D8)/2</f>
        <v>8430</v>
      </c>
      <c r="D8" s="112">
        <f>(alfhay!F106-(alfhay!F106*0.32))/8</f>
        <v>1020</v>
      </c>
      <c r="E8" s="112">
        <v>1324.8</v>
      </c>
      <c r="F8" s="112">
        <f>C8*0.005</f>
        <v>42.15</v>
      </c>
      <c r="G8" s="112">
        <f>C8*0.01</f>
        <v>84.3</v>
      </c>
      <c r="H8" s="112">
        <f>SUM(D8:G8)</f>
        <v>2471.2500000000005</v>
      </c>
      <c r="I8" s="113">
        <v>400</v>
      </c>
      <c r="J8" s="112">
        <f>H8/I8</f>
        <v>6.1781250000000014</v>
      </c>
    </row>
    <row r="9" spans="1:10" x14ac:dyDescent="0.2">
      <c r="A9" s="40" t="s">
        <v>36</v>
      </c>
      <c r="B9" s="125"/>
      <c r="C9" s="111">
        <f>(alfhay!F108+(alfhay!F108*0.32)+D9)/2</f>
        <v>28100</v>
      </c>
      <c r="D9" s="112">
        <f>(alfhay!F108-(alfhay!F108*0.32))/8</f>
        <v>3400</v>
      </c>
      <c r="E9" s="112">
        <v>1324.8</v>
      </c>
      <c r="F9" s="112">
        <f t="shared" si="2"/>
        <v>140.5</v>
      </c>
      <c r="G9" s="112">
        <f t="shared" si="3"/>
        <v>281</v>
      </c>
      <c r="H9" s="112">
        <f t="shared" si="0"/>
        <v>5146.3</v>
      </c>
      <c r="I9" s="113">
        <f>alfhay!G108</f>
        <v>400</v>
      </c>
      <c r="J9" s="112">
        <f t="shared" si="1"/>
        <v>12.86575</v>
      </c>
    </row>
    <row r="10" spans="1:10" x14ac:dyDescent="0.2">
      <c r="A10" s="126" t="s">
        <v>53</v>
      </c>
      <c r="B10" s="126"/>
      <c r="C10" s="114">
        <f>(alfhay!F109+(alfhay!F109*0.3)+D10)/2</f>
        <v>20812.5</v>
      </c>
      <c r="D10" s="115">
        <f>(alfhay!F109-(alfhay!F109*0.3))/8</f>
        <v>2625</v>
      </c>
      <c r="E10" s="115">
        <v>612</v>
      </c>
      <c r="F10" s="115">
        <f t="shared" si="2"/>
        <v>104.0625</v>
      </c>
      <c r="G10" s="115">
        <f t="shared" si="3"/>
        <v>208.125</v>
      </c>
      <c r="H10" s="115">
        <f t="shared" si="0"/>
        <v>3549.1875</v>
      </c>
      <c r="I10" s="116">
        <f>alfhay!G109</f>
        <v>2000</v>
      </c>
      <c r="J10" s="115">
        <f t="shared" si="1"/>
        <v>1.77459375</v>
      </c>
    </row>
  </sheetData>
  <phoneticPr fontId="15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alfhay</vt:lpstr>
      <vt:lpstr>Machinery Costs</vt:lpstr>
      <vt:lpstr>alfhay!Print_Area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Barry Ward</cp:lastModifiedBy>
  <cp:lastPrinted>2016-06-28T13:50:10Z</cp:lastPrinted>
  <dcterms:created xsi:type="dcterms:W3CDTF">2002-12-27T16:13:54Z</dcterms:created>
  <dcterms:modified xsi:type="dcterms:W3CDTF">2016-07-23T17:17:54Z</dcterms:modified>
</cp:coreProperties>
</file>